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tables/table1.xml" ContentType="application/vnd.openxmlformats-officedocument.spreadsheetml.table+xml"/>
  <Override PartName="/xl/drawings/drawing6.xml" ContentType="application/vnd.openxmlformats-officedocument.drawing+xml"/>
  <Override PartName="/xl/tables/table2.xml" ContentType="application/vnd.openxmlformats-officedocument.spreadsheetml.table+xml"/>
  <Override PartName="/xl/drawings/drawing7.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8.xml" ContentType="application/vnd.openxmlformats-officedocument.drawing+xml"/>
  <Override PartName="/xl/tables/table5.xml" ContentType="application/vnd.openxmlformats-officedocument.spreadsheetml.table+xml"/>
  <Override PartName="/xl/drawings/drawing9.xml" ContentType="application/vnd.openxmlformats-officedocument.drawing+xml"/>
  <Override PartName="/xl/tables/table6.xml" ContentType="application/vnd.openxmlformats-officedocument.spreadsheetml.table+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0.xml" ContentType="application/vnd.openxmlformats-officedocument.drawing+xml"/>
  <Override PartName="/xl/tables/table7.xml" ContentType="application/vnd.openxmlformats-officedocument.spreadsheetml.table+xml"/>
  <Override PartName="/xl/charts/chart1.xml" ContentType="application/vnd.openxmlformats-officedocument.drawingml.chart+xml"/>
  <Override PartName="/xl/charts/chart2.xml" ContentType="application/vnd.openxmlformats-officedocument.drawingml.chart+xml"/>
  <Override PartName="/xl/drawings/drawing11.xml" ContentType="application/vnd.openxmlformats-officedocument.drawing+xml"/>
  <Override PartName="/xl/tables/table8.xml" ContentType="application/vnd.openxmlformats-officedocument.spreadsheetml.table+xml"/>
  <Override PartName="/xl/drawings/drawing12.xml" ContentType="application/vnd.openxmlformats-officedocument.drawing+xml"/>
  <Override PartName="/xl/ctrlProps/ctrlProp1.xml" ContentType="application/vnd.ms-excel.controlproperties+xml"/>
  <Override PartName="/xl/tables/table9.xml" ContentType="application/vnd.openxmlformats-officedocument.spreadsheetml.table+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tables/table10.xml" ContentType="application/vnd.openxmlformats-officedocument.spreadsheetml.table+xml"/>
  <Override PartName="/xl/pivotTables/pivotTable3.xml" ContentType="application/vnd.openxmlformats-officedocument.spreadsheetml.pivotTable+xml"/>
  <Override PartName="/xl/drawings/drawing16.xml" ContentType="application/vnd.openxmlformats-officedocument.drawing+xml"/>
  <Override PartName="/xl/ctrlProps/ctrlProp2.xml" ContentType="application/vnd.ms-excel.controlproperties+xml"/>
  <Override PartName="/xl/charts/chart8.xml" ContentType="application/vnd.openxmlformats-officedocument.drawingml.chart+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codeName="{662AC1DA-710E-409A-AF98-282AFDE22985}"/>
  <workbookPr codeName="ThisWorkbook"/>
  <mc:AlternateContent xmlns:mc="http://schemas.openxmlformats.org/markup-compatibility/2006">
    <mc:Choice Requires="x15">
      <x15ac:absPath xmlns:x15ac="http://schemas.microsoft.com/office/spreadsheetml/2010/11/ac" url="C:\Users\Petra Westerlaan\FSC\Alison von Ketteler - FSC_003\3. Standards\1-1 International\1.1.6 Carbon monitoring tool\1. FINAL Drafts\FINAL\"/>
    </mc:Choice>
  </mc:AlternateContent>
  <xr:revisionPtr revIDLastSave="0" documentId="13_ncr:1_{2BFA88D5-8A14-4D43-ADB5-51AB224BB38A}" xr6:coauthVersionLast="45" xr6:coauthVersionMax="45" xr10:uidLastSave="{00000000-0000-0000-0000-000000000000}"/>
  <bookViews>
    <workbookView showSheetTabs="0" xWindow="-120" yWindow="-120" windowWidth="19440" windowHeight="10440" tabRatio="958" activeTab="17" xr2:uid="{00000000-000D-0000-FFFF-FFFF00000000}"/>
  </bookViews>
  <sheets>
    <sheet name="Introduction" sheetId="1" r:id="rId1"/>
    <sheet name="Accuracy" sheetId="57" r:id="rId2"/>
    <sheet name="General Data" sheetId="9" r:id="rId3"/>
    <sheet name="Default_Values" sheetId="6" r:id="rId4"/>
    <sheet name="Species" sheetId="3" r:id="rId5"/>
    <sheet name="Strata" sheetId="4" r:id="rId6"/>
    <sheet name="Management" sheetId="7" r:id="rId7"/>
    <sheet name="HWP" sheetId="52" r:id="rId8"/>
    <sheet name="Inventory_data" sheetId="5" r:id="rId9"/>
    <sheet name="Int_calc3" sheetId="61" r:id="rId10"/>
    <sheet name="Results" sheetId="56" r:id="rId11"/>
    <sheet name="Models" sheetId="67" r:id="rId12"/>
    <sheet name="Growth Model" sheetId="38" r:id="rId13"/>
    <sheet name="All_Models" sheetId="33" r:id="rId14"/>
    <sheet name="Simulation_assumptions" sheetId="34" r:id="rId15"/>
    <sheet name="Inventory_Simulation" sheetId="35" r:id="rId16"/>
    <sheet name="Simulation_Int_Calc" sheetId="65" r:id="rId17"/>
    <sheet name="Results_Simulation" sheetId="64" r:id="rId18"/>
  </sheets>
  <functionGroups builtInGroupCount="19"/>
  <externalReferences>
    <externalReference r:id="rId19"/>
    <externalReference r:id="rId20"/>
  </externalReferences>
  <definedNames>
    <definedName name="_xlnm._FilterDatabase" localSheetId="13" hidden="1">All_Models!$B$7:$G$7</definedName>
    <definedName name="_xlnm._FilterDatabase" localSheetId="3" hidden="1">Default_Values!$F$14:$I$836</definedName>
    <definedName name="_xlnm._FilterDatabase" localSheetId="2" hidden="1">'General Data'!$AC$20:$AD$20</definedName>
    <definedName name="_xlnm._FilterDatabase" localSheetId="9" hidden="1">Int_calc3!$C$2:$C$19</definedName>
    <definedName name="_xlnm._FilterDatabase" localSheetId="8" hidden="1">Inventory_data!$C$19:$C$22</definedName>
    <definedName name="_xlnm._FilterDatabase" localSheetId="15" hidden="1">Inventory_Simulation!#REF!</definedName>
    <definedName name="Actual_BA" localSheetId="11">OFFSET('Growth Model'!Age,0,4)</definedName>
    <definedName name="Actual_BA">OFFSET('Growth Model'!Age,0,4)</definedName>
    <definedName name="Actual_diameter" localSheetId="11">OFFSET('Growth Model'!Age,0,3)</definedName>
    <definedName name="Actual_diameter">OFFSET('Growth Model'!Age,0,3)</definedName>
    <definedName name="Actual_height" localSheetId="12">OFFSET('Growth Model'!Age,0,2)</definedName>
    <definedName name="Actual_V" localSheetId="12">OFFSET('Growth Model'!Age,0,5)</definedName>
    <definedName name="Age" localSheetId="12">OFFSET('Growth Model'!$J$15,'Growth Model'!$AC$19,0,'Growth Model'!$AC$18,1)</definedName>
    <definedName name="BA_model1" localSheetId="12">OFFSET('Growth Model'!Age,0,8)</definedName>
    <definedName name="BA_model2" localSheetId="12">OFFSET('Growth Model'!Age,0,12)</definedName>
    <definedName name="chart_types" localSheetId="11">'Growth Model'!$BI$32:$BI$35</definedName>
    <definedName name="chart_types">'Growth Model'!$BI$31:$BI$34</definedName>
    <definedName name="chart1" localSheetId="11">'Growth Model'!$BE$23:$BG$43</definedName>
    <definedName name="chart1">'Growth Model'!$BE$22:$BG$42</definedName>
    <definedName name="chart2" localSheetId="11">'Growth Model'!$BE$44:$BG$64</definedName>
    <definedName name="chart2">'Growth Model'!$BE$43:$BG$63</definedName>
    <definedName name="chart3" localSheetId="11">'Growth Model'!$BE$65:$BG$85</definedName>
    <definedName name="chart3">'Growth Model'!$BE$64:$BG$84</definedName>
    <definedName name="chart4" localSheetId="11">'Growth Model'!$BE$86:$BG$106</definedName>
    <definedName name="chart4">'Growth Model'!$BE$85:$BG$105</definedName>
    <definedName name="D_model1" localSheetId="11">OFFSET('Growth Model'!Age,0,7)</definedName>
    <definedName name="D_model1">OFFSET('Growth Model'!Age,0,7)</definedName>
    <definedName name="D_model2" localSheetId="11">OFFSET('Growth Model'!Age,0,11)</definedName>
    <definedName name="D_model2">OFFSET('Growth Model'!Age,0,11)</definedName>
    <definedName name="H_model1" localSheetId="12">OFFSET('Growth Model'!Age,0,6)</definedName>
    <definedName name="H_model2" localSheetId="12">OFFSET('Growth Model'!Age,0,10)</definedName>
    <definedName name="intermediate_yrs" localSheetId="11">Simulation_assumptions!$J$7:$J$15</definedName>
    <definedName name="intermediate_yrs">Simulation_assumptions!$J$7:$J$14</definedName>
    <definedName name="no_models">Models!$C$16:$C$20</definedName>
    <definedName name="_xlnm.Extract" localSheetId="8">Inventory_data!$AF$17</definedName>
    <definedName name="_xlnm.Extract" localSheetId="17">Results_Simulation!$D$2</definedName>
    <definedName name="q">[1]Strata!$B$12:$B$1743</definedName>
    <definedName name="qqw">[1]Strata!$B$12:$B$1743</definedName>
    <definedName name="result_simulation" localSheetId="11">Results_Simulation!$D$28:$D$32,Results_Simulation!$J$28:$J$32</definedName>
    <definedName name="result_simulation">Results_Simulation!$D$28:$D$32,Results_Simulation!$J$28:$J$32</definedName>
    <definedName name="results_simulation" localSheetId="11">Results_Simulation!$D$28:$D$32,Results_Simulation!$J$28:$J$32</definedName>
    <definedName name="results_simulation">Results_Simulation!$D$28:$D$32,Results_Simulation!$J$28:$J$32</definedName>
    <definedName name="results_table">Results_Simulation!$C$28:$J$32</definedName>
    <definedName name="selected_chart" localSheetId="11">CHOOSE('Growth Model'!$BI$37,Models!chart1,Models!chart2,Models!chart3,Models!chart4)</definedName>
    <definedName name="selected_chart">CHOOSE('Growth Model'!$BI$36,chart1,chart2,chart3,chart4)</definedName>
    <definedName name="Species" localSheetId="11">Species!$B$18:$B$20</definedName>
    <definedName name="Species">Species!$B$18:$B$20</definedName>
    <definedName name="Stratum" localSheetId="11">Strata!$B$16:$B$31</definedName>
    <definedName name="Stratum">Strata!$B$16:$B$18</definedName>
    <definedName name="Stratum_2">Int_calc3!$B$5:$B$13</definedName>
    <definedName name="Stratum_Model" localSheetId="11">Models!$C$16:$C$20</definedName>
    <definedName name="Stratum_Model">#REF!</definedName>
    <definedName name="Stratum_Select" localSheetId="11">OFFSET(Int_calc3!$B$5,[2]Results_!$D$45,0,[2]Results_!$D$46,1)</definedName>
    <definedName name="Stratum_Select">OFFSET(Int_calc3!$B$5,[2]Results_!$D$45,0,[2]Results_!$D$46,1)</definedName>
    <definedName name="Total">Int_calc3!$J$5:$J$13</definedName>
    <definedName name="total_carbon_results" localSheetId="17">OFFSET(Results_Simulation!$J$29,0,0,COUNTA(Results_Simulation!$J:$J)-1)</definedName>
    <definedName name="unique_year" localSheetId="11">Inventory_data!#REF!</definedName>
    <definedName name="unique_year">Inventory_data!$AF$18</definedName>
    <definedName name="V_model1" localSheetId="12">OFFSET('Growth Model'!Age,0,9)</definedName>
    <definedName name="V_model2" localSheetId="12">OFFSET('Growth Model'!Age,0,13)</definedName>
    <definedName name="Year_2">Int_calc3!$A$5:$A$13</definedName>
    <definedName name="Year_Actual" localSheetId="11">'General Data'!#REF!,'General Data'!#REF!</definedName>
    <definedName name="Year_Actual">'General Data'!#REF!,'General Data'!#REF!</definedName>
    <definedName name="Year_results" localSheetId="17">OFFSET(Results_Simulation!$D$29,0,0,COUNTA(Results_Simulation!$D:$D)-1)</definedName>
    <definedName name="Year1">Int_calc3!$O$5:$O$1048576</definedName>
    <definedName name="YearSim">Simulation_assumptions!$A$19:$A$19</definedName>
  </definedNames>
  <calcPr calcId="181029"/>
  <pivotCaches>
    <pivotCache cacheId="0" r:id="rId21"/>
    <pivotCache cacheId="1" r:id="rId22"/>
  </pivotCaches>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14" i="67" l="1"/>
  <c r="G17" i="67" a="1"/>
  <c r="G17" i="67" s="1"/>
  <c r="J5" i="65" s="1"/>
  <c r="G18" i="67" a="1"/>
  <c r="G18" i="67" s="1"/>
  <c r="G19" i="67" a="1"/>
  <c r="G19" i="67" s="1"/>
  <c r="G20" i="67" a="1"/>
  <c r="G20" i="67" s="1"/>
  <c r="B8" i="33" l="1"/>
  <c r="B9" i="33"/>
  <c r="B10" i="33"/>
  <c r="B11" i="33"/>
  <c r="B12" i="33"/>
  <c r="B13" i="33"/>
  <c r="B14" i="33"/>
  <c r="B15" i="33"/>
  <c r="B16" i="33"/>
  <c r="B17" i="33"/>
  <c r="B18" i="33"/>
  <c r="B19" i="33"/>
  <c r="B20" i="33"/>
  <c r="B21" i="33"/>
  <c r="B22" i="33"/>
  <c r="B23" i="33"/>
  <c r="B24" i="33"/>
  <c r="B25" i="33"/>
  <c r="B26" i="33"/>
  <c r="B27" i="33"/>
  <c r="B28" i="33"/>
  <c r="B29" i="33"/>
  <c r="B30" i="33"/>
  <c r="B31" i="33"/>
  <c r="B32" i="33"/>
  <c r="C12" i="34" l="1"/>
  <c r="B22" i="5"/>
  <c r="O22" i="5"/>
  <c r="T22" i="5" s="1"/>
  <c r="P22" i="5"/>
  <c r="S22" i="5"/>
  <c r="U22" i="5"/>
  <c r="V22" i="5"/>
  <c r="AM17" i="5"/>
  <c r="G57" i="56"/>
  <c r="D58" i="56"/>
  <c r="H57" i="56"/>
  <c r="F57" i="56"/>
  <c r="G56" i="56"/>
  <c r="E57" i="56"/>
  <c r="F56" i="56"/>
  <c r="F58" i="56"/>
  <c r="G58" i="56"/>
  <c r="H56" i="56"/>
  <c r="H58" i="56"/>
  <c r="D57" i="56"/>
  <c r="E56" i="56"/>
  <c r="E58" i="56"/>
  <c r="D56" i="56"/>
  <c r="X32" i="7"/>
  <c r="U27" i="7"/>
  <c r="T30" i="7"/>
  <c r="W28" i="7"/>
  <c r="V31" i="7"/>
  <c r="U31" i="7"/>
  <c r="W30" i="7"/>
  <c r="Y32" i="7"/>
  <c r="V27" i="7"/>
  <c r="U26" i="7"/>
  <c r="Y27" i="7"/>
  <c r="X25" i="7"/>
  <c r="V26" i="7"/>
  <c r="Y30" i="7"/>
  <c r="Y29" i="7"/>
  <c r="Y28" i="7"/>
  <c r="T27" i="7"/>
  <c r="T31" i="7"/>
  <c r="U29" i="7"/>
  <c r="W26" i="7"/>
  <c r="T26" i="7"/>
  <c r="X26" i="7"/>
  <c r="U28" i="7"/>
  <c r="Y26" i="7"/>
  <c r="T28" i="7"/>
  <c r="V32" i="7"/>
  <c r="T25" i="7"/>
  <c r="X30" i="7"/>
  <c r="U32" i="7"/>
  <c r="X27" i="7"/>
  <c r="T32" i="7"/>
  <c r="Y25" i="7"/>
  <c r="T29" i="7"/>
  <c r="W27" i="7"/>
  <c r="W31" i="7"/>
  <c r="X29" i="7"/>
  <c r="V28" i="7"/>
  <c r="V25" i="7"/>
  <c r="Y31" i="7"/>
  <c r="W32" i="7"/>
  <c r="W25" i="7"/>
  <c r="U25" i="7"/>
  <c r="X31" i="7"/>
  <c r="W29" i="7"/>
  <c r="V30" i="7"/>
  <c r="V29" i="7"/>
  <c r="U30" i="7"/>
  <c r="X28" i="7"/>
  <c r="I58" i="56" l="1"/>
  <c r="I57" i="56"/>
  <c r="I56" i="56"/>
  <c r="AB32" i="7"/>
  <c r="Z32" i="7"/>
  <c r="AA32" i="7"/>
  <c r="AC32" i="7"/>
  <c r="AE32" i="7"/>
  <c r="AD32" i="7"/>
  <c r="Z30" i="7"/>
  <c r="AA30" i="7"/>
  <c r="AB30" i="7"/>
  <c r="AE30" i="7"/>
  <c r="AC30" i="7"/>
  <c r="AD30" i="7"/>
  <c r="Z28" i="7"/>
  <c r="AA28" i="7"/>
  <c r="AB28" i="7"/>
  <c r="AC28" i="7"/>
  <c r="AE28" i="7"/>
  <c r="AD28" i="7"/>
  <c r="Z26" i="7"/>
  <c r="AA26" i="7"/>
  <c r="AB26" i="7"/>
  <c r="AC26" i="7"/>
  <c r="AE26" i="7"/>
  <c r="AD26" i="7"/>
  <c r="AB31" i="7"/>
  <c r="AE31" i="7"/>
  <c r="AC31" i="7"/>
  <c r="AA31" i="7"/>
  <c r="AD31" i="7"/>
  <c r="Z31" i="7"/>
  <c r="AB29" i="7"/>
  <c r="AC29" i="7"/>
  <c r="AD29" i="7"/>
  <c r="AE29" i="7"/>
  <c r="AA29" i="7"/>
  <c r="Z29" i="7"/>
  <c r="AB27" i="7"/>
  <c r="AC27" i="7"/>
  <c r="AD27" i="7"/>
  <c r="AE27" i="7"/>
  <c r="AA27" i="7"/>
  <c r="Z27" i="7"/>
  <c r="AB25" i="7"/>
  <c r="AC25" i="7"/>
  <c r="AD25" i="7"/>
  <c r="AE25" i="7"/>
  <c r="Z25" i="7"/>
  <c r="AA25" i="7"/>
  <c r="W22" i="5"/>
  <c r="X22" i="5" s="1"/>
  <c r="Z22" i="5" s="1"/>
  <c r="C3" i="33"/>
  <c r="F24" i="9" l="1"/>
  <c r="B6" i="67" l="1"/>
  <c r="E23" i="7"/>
  <c r="P15" i="4" l="1"/>
  <c r="AI39" i="35" s="1"/>
  <c r="F15" i="52" l="1"/>
  <c r="E20" i="38" l="1"/>
  <c r="F20" i="38" s="1"/>
  <c r="F20" i="4" l="1"/>
  <c r="G20" i="4" s="1"/>
  <c r="H20" i="4" l="1"/>
  <c r="AG11" i="35"/>
  <c r="AG12" i="35" s="1"/>
  <c r="AG13" i="35" s="1"/>
  <c r="AG14" i="35" s="1"/>
  <c r="AG15" i="35" l="1"/>
  <c r="AI13" i="35"/>
  <c r="AI11" i="35"/>
  <c r="AI10" i="35"/>
  <c r="AG16" i="35" l="1"/>
  <c r="AI14" i="35"/>
  <c r="AI12" i="35"/>
  <c r="AI15" i="35" l="1"/>
  <c r="AG17" i="35"/>
  <c r="E16" i="38"/>
  <c r="AI16" i="35" l="1"/>
  <c r="AG18" i="35"/>
  <c r="B23" i="5"/>
  <c r="Q23" i="5"/>
  <c r="B7" i="67"/>
  <c r="AG19" i="35" l="1"/>
  <c r="AI17" i="35"/>
  <c r="E17" i="38"/>
  <c r="F17" i="38" s="1"/>
  <c r="E18" i="38"/>
  <c r="F18" i="38" s="1"/>
  <c r="E19" i="38"/>
  <c r="F19" i="38" s="1"/>
  <c r="F16" i="38"/>
  <c r="AG20" i="35" l="1"/>
  <c r="AI18" i="35"/>
  <c r="D49" i="56"/>
  <c r="E48" i="56"/>
  <c r="D48" i="56"/>
  <c r="AG21" i="35" l="1"/>
  <c r="AI19" i="35"/>
  <c r="G22" i="56"/>
  <c r="E18" i="52"/>
  <c r="F18" i="52"/>
  <c r="G18" i="52"/>
  <c r="AG22" i="35" l="1"/>
  <c r="AI20" i="35"/>
  <c r="H18" i="52"/>
  <c r="AI21" i="35" l="1"/>
  <c r="AG23" i="35"/>
  <c r="I18" i="52"/>
  <c r="AG24" i="35" l="1"/>
  <c r="AI22" i="35"/>
  <c r="C29" i="64"/>
  <c r="E29" i="64" s="1"/>
  <c r="AI23" i="35" l="1"/>
  <c r="AG25" i="35"/>
  <c r="D29" i="64"/>
  <c r="C30" i="64"/>
  <c r="C31" i="64" s="1"/>
  <c r="E17" i="52"/>
  <c r="F17" i="52"/>
  <c r="G17" i="52"/>
  <c r="E16" i="52"/>
  <c r="F16" i="52"/>
  <c r="G16" i="52"/>
  <c r="G31" i="64" l="1"/>
  <c r="D31" i="64"/>
  <c r="H31" i="64"/>
  <c r="E31" i="64"/>
  <c r="C32" i="64"/>
  <c r="F31" i="64"/>
  <c r="AG26" i="35"/>
  <c r="AI24" i="35"/>
  <c r="F30" i="64"/>
  <c r="D30" i="64"/>
  <c r="G30" i="64"/>
  <c r="H30" i="64"/>
  <c r="E30" i="64"/>
  <c r="H16" i="52"/>
  <c r="H17" i="52"/>
  <c r="G28" i="56"/>
  <c r="G27" i="56"/>
  <c r="G26" i="56"/>
  <c r="G25" i="56"/>
  <c r="D23" i="56"/>
  <c r="I31" i="64" l="1"/>
  <c r="E32" i="64"/>
  <c r="C33" i="64"/>
  <c r="F32" i="64"/>
  <c r="G32" i="64"/>
  <c r="D32" i="64"/>
  <c r="H32" i="64"/>
  <c r="AG27" i="35"/>
  <c r="AI25" i="35"/>
  <c r="I30" i="64"/>
  <c r="I17" i="52"/>
  <c r="I16" i="52"/>
  <c r="B20" i="34"/>
  <c r="G33" i="64" l="1"/>
  <c r="D33" i="64"/>
  <c r="H33" i="64"/>
  <c r="E33" i="64"/>
  <c r="C34" i="64"/>
  <c r="F33" i="64"/>
  <c r="I32" i="64"/>
  <c r="AI26" i="35"/>
  <c r="AG28" i="35"/>
  <c r="L7" i="34"/>
  <c r="E34" i="64" l="1"/>
  <c r="C35" i="64"/>
  <c r="F34" i="64"/>
  <c r="G34" i="64"/>
  <c r="D34" i="64"/>
  <c r="H34" i="64"/>
  <c r="I33" i="64"/>
  <c r="AI27" i="35"/>
  <c r="AG29" i="35"/>
  <c r="K7" i="34"/>
  <c r="K8" i="34" s="1"/>
  <c r="K9" i="34" s="1"/>
  <c r="K10" i="34" s="1"/>
  <c r="K11" i="34" s="1"/>
  <c r="K12" i="34" s="1"/>
  <c r="K13" i="34" s="1"/>
  <c r="K14" i="34" s="1"/>
  <c r="K15" i="34" s="1"/>
  <c r="AL17" i="5"/>
  <c r="AH27" i="35" s="1"/>
  <c r="AH39" i="35" l="1"/>
  <c r="AH13" i="35"/>
  <c r="AH14" i="35"/>
  <c r="AH15" i="35"/>
  <c r="AH16" i="35"/>
  <c r="AH17" i="35"/>
  <c r="AH18" i="35"/>
  <c r="AH19" i="35"/>
  <c r="AH20" i="35"/>
  <c r="AH21" i="35"/>
  <c r="AH22" i="35"/>
  <c r="AH23" i="35"/>
  <c r="AH24" i="35"/>
  <c r="AH25" i="35"/>
  <c r="AH26" i="35"/>
  <c r="G35" i="64"/>
  <c r="D35" i="64"/>
  <c r="H35" i="64"/>
  <c r="E35" i="64"/>
  <c r="C36" i="64"/>
  <c r="F35" i="64"/>
  <c r="I34" i="64"/>
  <c r="AI28" i="35"/>
  <c r="AG30" i="35"/>
  <c r="AH28" i="35"/>
  <c r="AH11" i="35"/>
  <c r="AH10" i="35"/>
  <c r="AH12" i="35"/>
  <c r="B19" i="34"/>
  <c r="D19" i="34"/>
  <c r="B22" i="34"/>
  <c r="B25" i="35" l="1"/>
  <c r="B21" i="35"/>
  <c r="B17" i="35"/>
  <c r="B13" i="35"/>
  <c r="C12" i="35"/>
  <c r="D13" i="35"/>
  <c r="F14" i="35"/>
  <c r="C16" i="35"/>
  <c r="D17" i="35"/>
  <c r="F18" i="35"/>
  <c r="C20" i="35"/>
  <c r="D21" i="35"/>
  <c r="F22" i="35"/>
  <c r="C24" i="35"/>
  <c r="D25" i="35"/>
  <c r="F26" i="35"/>
  <c r="C28" i="35"/>
  <c r="D29" i="35"/>
  <c r="F30" i="35"/>
  <c r="C32" i="35"/>
  <c r="D33" i="35"/>
  <c r="F34" i="35"/>
  <c r="C36" i="35"/>
  <c r="D37" i="35"/>
  <c r="D12" i="35"/>
  <c r="F13" i="35"/>
  <c r="C15" i="35"/>
  <c r="D16" i="35"/>
  <c r="F17" i="35"/>
  <c r="C19" i="35"/>
  <c r="D20" i="35"/>
  <c r="F21" i="35"/>
  <c r="C23" i="35"/>
  <c r="D24" i="35"/>
  <c r="F25" i="35"/>
  <c r="C27" i="35"/>
  <c r="D28" i="35"/>
  <c r="F29" i="35"/>
  <c r="C31" i="35"/>
  <c r="D32" i="35"/>
  <c r="F33" i="35"/>
  <c r="C35" i="35"/>
  <c r="D36" i="35"/>
  <c r="F37" i="35"/>
  <c r="F12" i="35"/>
  <c r="C14" i="35"/>
  <c r="D15" i="35"/>
  <c r="F16" i="35"/>
  <c r="C18" i="35"/>
  <c r="D19" i="35"/>
  <c r="F20" i="35"/>
  <c r="C22" i="35"/>
  <c r="D23" i="35"/>
  <c r="F24" i="35"/>
  <c r="C26" i="35"/>
  <c r="D27" i="35"/>
  <c r="F28" i="35"/>
  <c r="C30" i="35"/>
  <c r="D31" i="35"/>
  <c r="F32" i="35"/>
  <c r="C34" i="35"/>
  <c r="D35" i="35"/>
  <c r="F36" i="35"/>
  <c r="C13" i="35"/>
  <c r="D14" i="35"/>
  <c r="F15" i="35"/>
  <c r="C17" i="35"/>
  <c r="D18" i="35"/>
  <c r="F19" i="35"/>
  <c r="C21" i="35"/>
  <c r="D22" i="35"/>
  <c r="F23" i="35"/>
  <c r="C25" i="35"/>
  <c r="D26" i="35"/>
  <c r="F27" i="35"/>
  <c r="C29" i="35"/>
  <c r="D30" i="35"/>
  <c r="F31" i="35"/>
  <c r="C33" i="35"/>
  <c r="D34" i="35"/>
  <c r="F35" i="35"/>
  <c r="C37" i="35"/>
  <c r="B28" i="35"/>
  <c r="B23" i="35"/>
  <c r="B19" i="35"/>
  <c r="B15" i="35"/>
  <c r="B24" i="35"/>
  <c r="B20" i="35"/>
  <c r="B16" i="35"/>
  <c r="E36" i="64"/>
  <c r="C37" i="64"/>
  <c r="F36" i="64"/>
  <c r="G36" i="64"/>
  <c r="D36" i="64"/>
  <c r="H36" i="64"/>
  <c r="B12" i="35"/>
  <c r="I35" i="64"/>
  <c r="B26" i="35"/>
  <c r="B22" i="35"/>
  <c r="B18" i="35"/>
  <c r="B14" i="35"/>
  <c r="B27" i="35"/>
  <c r="AI29" i="35"/>
  <c r="AG31" i="35"/>
  <c r="AH29" i="35"/>
  <c r="B29" i="35" s="1"/>
  <c r="F11" i="35"/>
  <c r="D11" i="35"/>
  <c r="B11" i="35"/>
  <c r="C11" i="35"/>
  <c r="G15" i="52"/>
  <c r="E15" i="52"/>
  <c r="W28" i="35" l="1"/>
  <c r="G28" i="35" a="1"/>
  <c r="G28" i="35" s="1"/>
  <c r="S12" i="35"/>
  <c r="T28" i="35"/>
  <c r="G12" i="35" a="1"/>
  <c r="G12" i="35" s="1"/>
  <c r="W12" i="35"/>
  <c r="S28" i="35"/>
  <c r="G37" i="64"/>
  <c r="D37" i="64"/>
  <c r="H37" i="64"/>
  <c r="E37" i="64"/>
  <c r="F37" i="64"/>
  <c r="T24" i="35"/>
  <c r="W24" i="35"/>
  <c r="G24" i="35" a="1"/>
  <c r="G24" i="35" s="1"/>
  <c r="S24" i="35"/>
  <c r="E22" i="35"/>
  <c r="Q22" i="35"/>
  <c r="E31" i="35"/>
  <c r="Q31" i="35"/>
  <c r="Q15" i="35"/>
  <c r="E15" i="35"/>
  <c r="Q36" i="35"/>
  <c r="E36" i="35"/>
  <c r="Q20" i="35"/>
  <c r="E20" i="35"/>
  <c r="E25" i="35"/>
  <c r="Q25" i="35"/>
  <c r="G13" i="35" a="1"/>
  <c r="G13" i="35" s="1"/>
  <c r="T13" i="35"/>
  <c r="S13" i="35"/>
  <c r="W13" i="35"/>
  <c r="T14" i="35"/>
  <c r="S14" i="35"/>
  <c r="G14" i="35" a="1"/>
  <c r="G14" i="35" s="1"/>
  <c r="W14" i="35"/>
  <c r="T18" i="35"/>
  <c r="S18" i="35"/>
  <c r="G18" i="35" a="1"/>
  <c r="G18" i="35" s="1"/>
  <c r="W18" i="35"/>
  <c r="T12" i="35"/>
  <c r="G22" i="35" a="1"/>
  <c r="G22" i="35" s="1"/>
  <c r="W22" i="35"/>
  <c r="S22" i="35"/>
  <c r="T22" i="35"/>
  <c r="G27" i="35" a="1"/>
  <c r="G27" i="35" s="1"/>
  <c r="S27" i="35"/>
  <c r="W27" i="35"/>
  <c r="T27" i="35"/>
  <c r="W26" i="35"/>
  <c r="G26" i="35" a="1"/>
  <c r="G26" i="35" s="1"/>
  <c r="S26" i="35"/>
  <c r="T26" i="35"/>
  <c r="I36" i="64"/>
  <c r="S15" i="35"/>
  <c r="W15" i="35"/>
  <c r="T15" i="35"/>
  <c r="G15" i="35" a="1"/>
  <c r="G15" i="35" s="1"/>
  <c r="Q26" i="35"/>
  <c r="E26" i="35"/>
  <c r="E35" i="35"/>
  <c r="Q35" i="35"/>
  <c r="E19" i="35"/>
  <c r="Q19" i="35"/>
  <c r="Q24" i="35"/>
  <c r="E24" i="35"/>
  <c r="E29" i="35"/>
  <c r="Q29" i="35"/>
  <c r="E13" i="35"/>
  <c r="Q13" i="35"/>
  <c r="T17" i="35"/>
  <c r="W17" i="35"/>
  <c r="S17" i="35"/>
  <c r="G17" i="35" a="1"/>
  <c r="G17" i="35" s="1"/>
  <c r="T16" i="35"/>
  <c r="W16" i="35"/>
  <c r="G16" i="35" a="1"/>
  <c r="G16" i="35" s="1"/>
  <c r="S16" i="35"/>
  <c r="S19" i="35"/>
  <c r="T19" i="35"/>
  <c r="W19" i="35"/>
  <c r="G19" i="35" a="1"/>
  <c r="G19" i="35" s="1"/>
  <c r="Q30" i="35"/>
  <c r="E30" i="35"/>
  <c r="Q14" i="35"/>
  <c r="E14" i="35"/>
  <c r="E23" i="35"/>
  <c r="Q23" i="35"/>
  <c r="E28" i="35"/>
  <c r="Q28" i="35"/>
  <c r="Q12" i="35"/>
  <c r="E12" i="35"/>
  <c r="E33" i="35"/>
  <c r="Q33" i="35"/>
  <c r="E17" i="35"/>
  <c r="Q17" i="35"/>
  <c r="S21" i="35"/>
  <c r="G21" i="35" a="1"/>
  <c r="G21" i="35" s="1"/>
  <c r="T21" i="35"/>
  <c r="W21" i="35"/>
  <c r="G20" i="35" a="1"/>
  <c r="G20" i="35" s="1"/>
  <c r="W20" i="35"/>
  <c r="S20" i="35"/>
  <c r="T20" i="35"/>
  <c r="S23" i="35"/>
  <c r="G23" i="35" a="1"/>
  <c r="G23" i="35" s="1"/>
  <c r="W23" i="35"/>
  <c r="T23" i="35"/>
  <c r="E34" i="35"/>
  <c r="Q34" i="35"/>
  <c r="E18" i="35"/>
  <c r="Q18" i="35"/>
  <c r="E27" i="35"/>
  <c r="Q27" i="35"/>
  <c r="Q32" i="35"/>
  <c r="E32" i="35"/>
  <c r="Q16" i="35"/>
  <c r="E16" i="35"/>
  <c r="Q37" i="35"/>
  <c r="E37" i="35"/>
  <c r="Q21" i="35"/>
  <c r="E21" i="35"/>
  <c r="S25" i="35"/>
  <c r="W25" i="35"/>
  <c r="G25" i="35" a="1"/>
  <c r="G25" i="35" s="1"/>
  <c r="T25" i="35"/>
  <c r="W29" i="35"/>
  <c r="S29" i="35"/>
  <c r="G29" i="35" a="1"/>
  <c r="G29" i="35" s="1"/>
  <c r="T29" i="35"/>
  <c r="AG32" i="35"/>
  <c r="AH30" i="35"/>
  <c r="B30" i="35" s="1"/>
  <c r="AI30" i="35"/>
  <c r="G11" i="35" a="1"/>
  <c r="G11" i="35" s="1"/>
  <c r="Q11" i="35"/>
  <c r="E11" i="35"/>
  <c r="T11" i="35"/>
  <c r="S11" i="35"/>
  <c r="W11" i="35"/>
  <c r="D31" i="56"/>
  <c r="I37" i="64" l="1"/>
  <c r="T30" i="35"/>
  <c r="G30" i="35" a="1"/>
  <c r="G30" i="35" s="1"/>
  <c r="S30" i="35"/>
  <c r="W30" i="35"/>
  <c r="AI31" i="35"/>
  <c r="AG33" i="35"/>
  <c r="AH31" i="35"/>
  <c r="B31" i="35" s="1"/>
  <c r="B21" i="5"/>
  <c r="O21" i="5"/>
  <c r="P21" i="5"/>
  <c r="S21" i="5"/>
  <c r="U21" i="5"/>
  <c r="V21" i="5"/>
  <c r="B20" i="5"/>
  <c r="H32" i="35" s="1"/>
  <c r="R32" i="35" s="1"/>
  <c r="O20" i="5"/>
  <c r="G16" i="67" s="1" a="1"/>
  <c r="G16" i="67" s="1"/>
  <c r="P20" i="5"/>
  <c r="S20" i="5"/>
  <c r="U20" i="5"/>
  <c r="V20" i="5"/>
  <c r="X29" i="35" l="1"/>
  <c r="X12" i="35"/>
  <c r="X17" i="35"/>
  <c r="H27" i="35"/>
  <c r="X21" i="35"/>
  <c r="H31" i="35"/>
  <c r="R31" i="35" s="1"/>
  <c r="X35" i="35"/>
  <c r="X31" i="35"/>
  <c r="X37" i="35"/>
  <c r="X14" i="35"/>
  <c r="H33" i="35"/>
  <c r="R33" i="35" s="1"/>
  <c r="H24" i="35"/>
  <c r="J31" i="64"/>
  <c r="J32" i="64"/>
  <c r="J33" i="64"/>
  <c r="J34" i="64"/>
  <c r="J35" i="64"/>
  <c r="H26" i="35"/>
  <c r="H13" i="35"/>
  <c r="X15" i="35"/>
  <c r="X26" i="35"/>
  <c r="X36" i="35"/>
  <c r="J37" i="64"/>
  <c r="X20" i="35"/>
  <c r="X33" i="35"/>
  <c r="X13" i="35"/>
  <c r="X23" i="35"/>
  <c r="H28" i="35"/>
  <c r="H15" i="35"/>
  <c r="X25" i="35"/>
  <c r="H19" i="35"/>
  <c r="H23" i="35"/>
  <c r="X27" i="35"/>
  <c r="H36" i="35"/>
  <c r="R36" i="35" s="1"/>
  <c r="H35" i="35"/>
  <c r="R35" i="35" s="1"/>
  <c r="H30" i="35"/>
  <c r="R30" i="35" s="1"/>
  <c r="X34" i="35"/>
  <c r="X16" i="35"/>
  <c r="X11" i="35"/>
  <c r="H25" i="35"/>
  <c r="H18" i="35"/>
  <c r="H17" i="35"/>
  <c r="X30" i="35"/>
  <c r="X24" i="35"/>
  <c r="X28" i="35"/>
  <c r="H21" i="35"/>
  <c r="H20" i="35"/>
  <c r="J36" i="64"/>
  <c r="H29" i="35"/>
  <c r="H14" i="35"/>
  <c r="X18" i="35"/>
  <c r="H37" i="35"/>
  <c r="R37" i="35" s="1"/>
  <c r="H22" i="35"/>
  <c r="X22" i="35"/>
  <c r="X19" i="35"/>
  <c r="X32" i="35"/>
  <c r="H16" i="35"/>
  <c r="H34" i="35"/>
  <c r="R34" i="35" s="1"/>
  <c r="H12" i="35"/>
  <c r="AI32" i="35"/>
  <c r="AH32" i="35"/>
  <c r="B32" i="35" s="1"/>
  <c r="AG34" i="35"/>
  <c r="S31" i="35"/>
  <c r="T31" i="35"/>
  <c r="W31" i="35"/>
  <c r="G31" i="35" a="1"/>
  <c r="G31" i="35" s="1"/>
  <c r="I31" i="35" s="1"/>
  <c r="P31" i="35" s="1"/>
  <c r="J31" i="35" s="1"/>
  <c r="H11" i="35"/>
  <c r="T21" i="5"/>
  <c r="T20" i="5"/>
  <c r="W21" i="5"/>
  <c r="X21" i="5" s="1"/>
  <c r="Z21" i="5" s="1"/>
  <c r="W20" i="5"/>
  <c r="X20" i="5" s="1"/>
  <c r="Z20" i="5" s="1"/>
  <c r="I30" i="35" l="1"/>
  <c r="P30" i="35" s="1"/>
  <c r="J30" i="35" s="1"/>
  <c r="U30" i="35" s="1"/>
  <c r="V30" i="35" s="1"/>
  <c r="K30" i="35" s="1"/>
  <c r="R12" i="35"/>
  <c r="I12" i="35"/>
  <c r="P12" i="35" s="1"/>
  <c r="J12" i="35" s="1"/>
  <c r="U12" i="35" s="1"/>
  <c r="V12" i="35" s="1"/>
  <c r="K12" i="35" s="1"/>
  <c r="R20" i="35"/>
  <c r="I20" i="35"/>
  <c r="P20" i="35" s="1"/>
  <c r="J20" i="35" s="1"/>
  <c r="U20" i="35" s="1"/>
  <c r="V20" i="35" s="1"/>
  <c r="K20" i="35" s="1"/>
  <c r="R25" i="35"/>
  <c r="I25" i="35"/>
  <c r="P25" i="35" s="1"/>
  <c r="J25" i="35" s="1"/>
  <c r="U25" i="35" s="1"/>
  <c r="V25" i="35" s="1"/>
  <c r="K25" i="35" s="1"/>
  <c r="R23" i="35"/>
  <c r="I23" i="35"/>
  <c r="P23" i="35" s="1"/>
  <c r="J23" i="35" s="1"/>
  <c r="U23" i="35" s="1"/>
  <c r="V23" i="35" s="1"/>
  <c r="K23" i="35" s="1"/>
  <c r="R28" i="35"/>
  <c r="I28" i="35"/>
  <c r="P28" i="35" s="1"/>
  <c r="J28" i="35" s="1"/>
  <c r="U28" i="35" s="1"/>
  <c r="V28" i="35" s="1"/>
  <c r="K28" i="35" s="1"/>
  <c r="R24" i="35"/>
  <c r="I24" i="35"/>
  <c r="P24" i="35" s="1"/>
  <c r="J24" i="35" s="1"/>
  <c r="U24" i="35" s="1"/>
  <c r="V24" i="35" s="1"/>
  <c r="K24" i="35" s="1"/>
  <c r="R27" i="35"/>
  <c r="I27" i="35"/>
  <c r="P27" i="35" s="1"/>
  <c r="J27" i="35" s="1"/>
  <c r="U27" i="35" s="1"/>
  <c r="V27" i="35" s="1"/>
  <c r="K27" i="35" s="1"/>
  <c r="R14" i="35"/>
  <c r="I14" i="35"/>
  <c r="P14" i="35" s="1"/>
  <c r="J14" i="35" s="1"/>
  <c r="U14" i="35" s="1"/>
  <c r="V14" i="35" s="1"/>
  <c r="K14" i="35" s="1"/>
  <c r="R21" i="35"/>
  <c r="I21" i="35"/>
  <c r="P21" i="35" s="1"/>
  <c r="J21" i="35" s="1"/>
  <c r="U21" i="35" s="1"/>
  <c r="V21" i="35" s="1"/>
  <c r="K21" i="35" s="1"/>
  <c r="R19" i="35"/>
  <c r="I19" i="35"/>
  <c r="P19" i="35" s="1"/>
  <c r="J19" i="35" s="1"/>
  <c r="U19" i="35" s="1"/>
  <c r="V19" i="35" s="1"/>
  <c r="K19" i="35" s="1"/>
  <c r="R13" i="35"/>
  <c r="I13" i="35"/>
  <c r="P13" i="35" s="1"/>
  <c r="J13" i="35" s="1"/>
  <c r="U13" i="35" s="1"/>
  <c r="V13" i="35" s="1"/>
  <c r="K13" i="35" s="1"/>
  <c r="R16" i="35"/>
  <c r="I16" i="35"/>
  <c r="P16" i="35" s="1"/>
  <c r="J16" i="35" s="1"/>
  <c r="U16" i="35" s="1"/>
  <c r="V16" i="35" s="1"/>
  <c r="K16" i="35" s="1"/>
  <c r="R22" i="35"/>
  <c r="I22" i="35"/>
  <c r="P22" i="35" s="1"/>
  <c r="J22" i="35" s="1"/>
  <c r="U22" i="35" s="1"/>
  <c r="V22" i="35" s="1"/>
  <c r="K22" i="35" s="1"/>
  <c r="R29" i="35"/>
  <c r="I29" i="35"/>
  <c r="P29" i="35" s="1"/>
  <c r="J29" i="35" s="1"/>
  <c r="U29" i="35" s="1"/>
  <c r="V29" i="35" s="1"/>
  <c r="K29" i="35" s="1"/>
  <c r="R17" i="35"/>
  <c r="I17" i="35"/>
  <c r="P17" i="35" s="1"/>
  <c r="J17" i="35" s="1"/>
  <c r="U17" i="35" s="1"/>
  <c r="V17" i="35" s="1"/>
  <c r="K17" i="35" s="1"/>
  <c r="R26" i="35"/>
  <c r="I26" i="35"/>
  <c r="P26" i="35" s="1"/>
  <c r="J26" i="35" s="1"/>
  <c r="U26" i="35" s="1"/>
  <c r="V26" i="35" s="1"/>
  <c r="K26" i="35" s="1"/>
  <c r="R18" i="35"/>
  <c r="I18" i="35"/>
  <c r="P18" i="35" s="1"/>
  <c r="J18" i="35" s="1"/>
  <c r="U18" i="35" s="1"/>
  <c r="V18" i="35" s="1"/>
  <c r="K18" i="35" s="1"/>
  <c r="R15" i="35"/>
  <c r="I15" i="35"/>
  <c r="P15" i="35" s="1"/>
  <c r="J15" i="35" s="1"/>
  <c r="U15" i="35" s="1"/>
  <c r="V15" i="35" s="1"/>
  <c r="K15" i="35" s="1"/>
  <c r="U31" i="35"/>
  <c r="V31" i="35" s="1"/>
  <c r="K31" i="35" s="1"/>
  <c r="AH33" i="35"/>
  <c r="B33" i="35" s="1"/>
  <c r="AI33" i="35"/>
  <c r="AG35" i="35"/>
  <c r="S32" i="35"/>
  <c r="G32" i="35" a="1"/>
  <c r="G32" i="35" s="1"/>
  <c r="I32" i="35" s="1"/>
  <c r="P32" i="35" s="1"/>
  <c r="J32" i="35" s="1"/>
  <c r="W32" i="35"/>
  <c r="T32" i="35"/>
  <c r="I11" i="35"/>
  <c r="P11" i="35" s="1"/>
  <c r="J11" i="35" s="1"/>
  <c r="R11" i="35"/>
  <c r="AG17" i="7"/>
  <c r="V24" i="7"/>
  <c r="U32" i="35" l="1"/>
  <c r="V32" i="35" s="1"/>
  <c r="K32" i="35" s="1"/>
  <c r="AG36" i="35"/>
  <c r="AH34" i="35"/>
  <c r="B34" i="35" s="1"/>
  <c r="AI34" i="35"/>
  <c r="W33" i="35"/>
  <c r="G33" i="35" a="1"/>
  <c r="G33" i="35" s="1"/>
  <c r="I33" i="35" s="1"/>
  <c r="P33" i="35" s="1"/>
  <c r="J33" i="35" s="1"/>
  <c r="S33" i="35"/>
  <c r="T33" i="35"/>
  <c r="J30" i="64"/>
  <c r="U11" i="35"/>
  <c r="V11" i="35" s="1"/>
  <c r="K11" i="35" s="1"/>
  <c r="B16" i="56"/>
  <c r="Y24" i="7"/>
  <c r="U24" i="7"/>
  <c r="T24" i="7"/>
  <c r="W24" i="7"/>
  <c r="X24" i="7" s="1"/>
  <c r="U33" i="35" l="1"/>
  <c r="V33" i="35" s="1"/>
  <c r="K33" i="35" s="1"/>
  <c r="W34" i="35"/>
  <c r="T34" i="35"/>
  <c r="G34" i="35" a="1"/>
  <c r="G34" i="35" s="1"/>
  <c r="I34" i="35" s="1"/>
  <c r="P34" i="35" s="1"/>
  <c r="J34" i="35" s="1"/>
  <c r="S34" i="35"/>
  <c r="AG37" i="35"/>
  <c r="AI35" i="35"/>
  <c r="AH35" i="35"/>
  <c r="B35" i="35" s="1"/>
  <c r="Z24" i="7"/>
  <c r="AC24" i="7"/>
  <c r="D19" i="9"/>
  <c r="AI36" i="35" l="1"/>
  <c r="AG38" i="35"/>
  <c r="AH36" i="35"/>
  <c r="B36" i="35" s="1"/>
  <c r="U34" i="35"/>
  <c r="V34" i="35" s="1"/>
  <c r="K34" i="35" s="1"/>
  <c r="W35" i="35"/>
  <c r="G35" i="35" a="1"/>
  <c r="G35" i="35" s="1"/>
  <c r="I35" i="35" s="1"/>
  <c r="P35" i="35" s="1"/>
  <c r="J35" i="35" s="1"/>
  <c r="T35" i="35"/>
  <c r="S35" i="35"/>
  <c r="C30" i="56"/>
  <c r="U35" i="35" l="1"/>
  <c r="V35" i="35" s="1"/>
  <c r="K35" i="35" s="1"/>
  <c r="W36" i="35"/>
  <c r="G36" i="35" a="1"/>
  <c r="G36" i="35" s="1"/>
  <c r="I36" i="35" s="1"/>
  <c r="P36" i="35" s="1"/>
  <c r="J36" i="35" s="1"/>
  <c r="T36" i="35"/>
  <c r="S36" i="35"/>
  <c r="AH37" i="35"/>
  <c r="B37" i="35" s="1"/>
  <c r="AI37" i="35"/>
  <c r="AG39" i="35"/>
  <c r="I19" i="3"/>
  <c r="T37" i="35" l="1"/>
  <c r="S37" i="35"/>
  <c r="G37" i="35" a="1"/>
  <c r="G37" i="35" s="1"/>
  <c r="I37" i="35" s="1"/>
  <c r="P37" i="35" s="1"/>
  <c r="J37" i="35" s="1"/>
  <c r="W37" i="35"/>
  <c r="U36" i="35"/>
  <c r="V36" i="35" s="1"/>
  <c r="K36" i="35" s="1"/>
  <c r="AH38" i="35"/>
  <c r="AI38" i="35"/>
  <c r="F47" i="56"/>
  <c r="U37" i="35" l="1"/>
  <c r="V37" i="35" s="1"/>
  <c r="K37" i="35" s="1"/>
  <c r="E49" i="56"/>
  <c r="F49" i="56" l="1"/>
  <c r="Q30" i="56" l="1"/>
  <c r="I21" i="3" l="1"/>
  <c r="Q22" i="5" s="1"/>
  <c r="I20" i="3"/>
  <c r="R22" i="5" s="1"/>
  <c r="I18" i="3"/>
  <c r="Y22" i="5" l="1"/>
  <c r="AA22" i="5" s="1"/>
  <c r="L35" i="35"/>
  <c r="L33" i="35"/>
  <c r="L32" i="35"/>
  <c r="L37" i="35"/>
  <c r="L22" i="35"/>
  <c r="L31" i="35"/>
  <c r="L25" i="35"/>
  <c r="L24" i="35"/>
  <c r="L13" i="35"/>
  <c r="L12" i="35"/>
  <c r="L20" i="35"/>
  <c r="L26" i="35"/>
  <c r="L15" i="35"/>
  <c r="L36" i="35"/>
  <c r="L29" i="35"/>
  <c r="L30" i="35"/>
  <c r="L14" i="35"/>
  <c r="L23" i="35"/>
  <c r="L17" i="35"/>
  <c r="L34" i="35"/>
  <c r="L27" i="35"/>
  <c r="L19" i="35"/>
  <c r="L28" i="35"/>
  <c r="L18" i="35"/>
  <c r="L21" i="35"/>
  <c r="L16" i="35"/>
  <c r="L11" i="35"/>
  <c r="R21" i="5"/>
  <c r="Q21" i="5"/>
  <c r="Y21" i="5"/>
  <c r="R20" i="5"/>
  <c r="Y20" i="5"/>
  <c r="Q20" i="5"/>
  <c r="AA21" i="5" l="1"/>
  <c r="AA20" i="5"/>
  <c r="Q32" i="56" l="1"/>
  <c r="Q33" i="56"/>
  <c r="Q34" i="56"/>
  <c r="Q31" i="56"/>
  <c r="R31" i="56" s="1"/>
  <c r="D22" i="56" l="1"/>
  <c r="G23" i="56" s="1"/>
  <c r="F48" i="56" l="1"/>
  <c r="AH17" i="7" l="1"/>
  <c r="J23" i="56" s="1"/>
  <c r="J22" i="56"/>
  <c r="B10" i="52" l="1"/>
  <c r="K22" i="56" l="1"/>
  <c r="O9" i="52" l="1"/>
  <c r="J18" i="52" s="1"/>
  <c r="K18" i="52" s="1"/>
  <c r="R34" i="56" s="1"/>
  <c r="J16" i="52" l="1"/>
  <c r="J17" i="52"/>
  <c r="H15" i="52"/>
  <c r="Q15" i="4"/>
  <c r="F19" i="4" l="1"/>
  <c r="F16" i="4"/>
  <c r="F17" i="4"/>
  <c r="F18" i="4"/>
  <c r="G19" i="4"/>
  <c r="H19" i="4"/>
  <c r="K17" i="52"/>
  <c r="R33" i="56" s="1"/>
  <c r="K16" i="52"/>
  <c r="R32" i="56" s="1"/>
  <c r="I15" i="52"/>
  <c r="J15" i="52" s="1"/>
  <c r="H18" i="4" l="1"/>
  <c r="G18" i="4"/>
  <c r="G17" i="4"/>
  <c r="H17" i="4"/>
  <c r="H16" i="4"/>
  <c r="G16" i="4"/>
  <c r="N15" i="35" l="1"/>
  <c r="N12" i="35"/>
  <c r="N21" i="35"/>
  <c r="N24" i="35"/>
  <c r="N30" i="35"/>
  <c r="N18" i="35"/>
  <c r="N27" i="35"/>
  <c r="N33" i="35"/>
  <c r="N36" i="35"/>
  <c r="N26" i="35"/>
  <c r="N14" i="35"/>
  <c r="N17" i="35"/>
  <c r="N23" i="35"/>
  <c r="N29" i="35"/>
  <c r="N20" i="35"/>
  <c r="N32" i="35"/>
  <c r="N35" i="35"/>
  <c r="M26" i="35"/>
  <c r="O26" i="35" s="1" a="1"/>
  <c r="O26" i="35" s="1"/>
  <c r="M23" i="35"/>
  <c r="M14" i="35"/>
  <c r="M17" i="35"/>
  <c r="M20" i="35"/>
  <c r="M29" i="35"/>
  <c r="M32" i="35"/>
  <c r="M35" i="35"/>
  <c r="AC22" i="5"/>
  <c r="N25" i="35"/>
  <c r="N28" i="35"/>
  <c r="N16" i="35"/>
  <c r="N22" i="35"/>
  <c r="N19" i="35"/>
  <c r="N13" i="35"/>
  <c r="N31" i="35"/>
  <c r="N34" i="35"/>
  <c r="N37" i="35"/>
  <c r="AB22" i="5"/>
  <c r="M22" i="35"/>
  <c r="M19" i="35"/>
  <c r="M13" i="35"/>
  <c r="M28" i="35"/>
  <c r="M16" i="35"/>
  <c r="O16" i="35" s="1" a="1"/>
  <c r="O16" i="35" s="1"/>
  <c r="M25" i="35"/>
  <c r="M31" i="35"/>
  <c r="M34" i="35"/>
  <c r="M37" i="35"/>
  <c r="M27" i="35"/>
  <c r="M24" i="35"/>
  <c r="M18" i="35"/>
  <c r="M15" i="35"/>
  <c r="O15" i="35" s="1" a="1"/>
  <c r="O15" i="35" s="1"/>
  <c r="M21" i="35"/>
  <c r="M12" i="35"/>
  <c r="M30" i="35"/>
  <c r="M33" i="35"/>
  <c r="M36" i="35"/>
  <c r="N11" i="35"/>
  <c r="M11" i="35"/>
  <c r="K15" i="52"/>
  <c r="R30" i="56" s="1"/>
  <c r="AC20" i="5"/>
  <c r="AC21" i="5"/>
  <c r="AB20" i="5"/>
  <c r="AB21" i="5"/>
  <c r="B21" i="34"/>
  <c r="O12" i="35" l="1" a="1"/>
  <c r="O12" i="35" s="1"/>
  <c r="O28" i="35" a="1"/>
  <c r="O28" i="35" s="1"/>
  <c r="O32" i="35" a="1"/>
  <c r="O32" i="35" s="1"/>
  <c r="O18" i="35" a="1"/>
  <c r="O18" i="35" s="1"/>
  <c r="O27" i="35" a="1"/>
  <c r="O27" i="35" s="1"/>
  <c r="O20" i="35" a="1"/>
  <c r="O20" i="35" s="1"/>
  <c r="O21" i="35" a="1"/>
  <c r="O21" i="35" s="1"/>
  <c r="O25" i="35" a="1"/>
  <c r="O25" i="35" s="1"/>
  <c r="O19" i="35" a="1"/>
  <c r="O19" i="35" s="1"/>
  <c r="O37" i="35" a="1"/>
  <c r="O37" i="35" s="1"/>
  <c r="O14" i="35" a="1"/>
  <c r="O14" i="35" s="1"/>
  <c r="O35" i="35" a="1"/>
  <c r="O35" i="35" s="1"/>
  <c r="O33" i="35" a="1"/>
  <c r="O33" i="35" s="1"/>
  <c r="O17" i="35" a="1"/>
  <c r="O17" i="35" s="1"/>
  <c r="O36" i="35" a="1"/>
  <c r="O36" i="35" s="1"/>
  <c r="O22" i="35" a="1"/>
  <c r="O22" i="35" s="1"/>
  <c r="O34" i="35" a="1"/>
  <c r="O34" i="35" s="1"/>
  <c r="O24" i="35" a="1"/>
  <c r="O24" i="35" s="1"/>
  <c r="O31" i="35" a="1"/>
  <c r="O31" i="35" s="1"/>
  <c r="O13" i="35" a="1"/>
  <c r="O13" i="35" s="1"/>
  <c r="O29" i="35" a="1"/>
  <c r="O29" i="35" s="1"/>
  <c r="O23" i="35" a="1"/>
  <c r="O23" i="35" s="1"/>
  <c r="O30" i="35" a="1"/>
  <c r="O30" i="35" s="1"/>
  <c r="O11" i="35" a="1"/>
  <c r="O11" i="35" s="1"/>
  <c r="A19" i="34"/>
  <c r="R35" i="56" l="1"/>
  <c r="G30" i="56" s="1"/>
  <c r="J315" i="38" l="1"/>
  <c r="V315" i="38" s="1"/>
  <c r="J314" i="38"/>
  <c r="S314" i="38" s="1"/>
  <c r="J313" i="38"/>
  <c r="V313" i="38" s="1"/>
  <c r="J312" i="38"/>
  <c r="S312" i="38" s="1"/>
  <c r="J311" i="38"/>
  <c r="V311" i="38" s="1"/>
  <c r="J310" i="38"/>
  <c r="S310" i="38" s="1"/>
  <c r="J309" i="38"/>
  <c r="V309" i="38" s="1"/>
  <c r="J308" i="38"/>
  <c r="S308" i="38" s="1"/>
  <c r="J307" i="38"/>
  <c r="V307" i="38" s="1"/>
  <c r="J306" i="38"/>
  <c r="S306" i="38" s="1"/>
  <c r="J305" i="38"/>
  <c r="V305" i="38" s="1"/>
  <c r="J304" i="38"/>
  <c r="S304" i="38" s="1"/>
  <c r="J303" i="38"/>
  <c r="V303" i="38" s="1"/>
  <c r="J302" i="38"/>
  <c r="S302" i="38" s="1"/>
  <c r="J301" i="38"/>
  <c r="V301" i="38" s="1"/>
  <c r="J300" i="38"/>
  <c r="S300" i="38" s="1"/>
  <c r="J299" i="38"/>
  <c r="V299" i="38" s="1"/>
  <c r="J298" i="38"/>
  <c r="S298" i="38" s="1"/>
  <c r="J297" i="38"/>
  <c r="V297" i="38" s="1"/>
  <c r="J296" i="38"/>
  <c r="S296" i="38" s="1"/>
  <c r="J295" i="38"/>
  <c r="V295" i="38" s="1"/>
  <c r="J294" i="38"/>
  <c r="S294" i="38" s="1"/>
  <c r="J293" i="38"/>
  <c r="V293" i="38" s="1"/>
  <c r="J292" i="38"/>
  <c r="S292" i="38" s="1"/>
  <c r="J291" i="38"/>
  <c r="T291" i="38" s="1"/>
  <c r="J290" i="38"/>
  <c r="S290" i="38" s="1"/>
  <c r="J289" i="38"/>
  <c r="T289" i="38" s="1"/>
  <c r="J288" i="38"/>
  <c r="S288" i="38" s="1"/>
  <c r="J287" i="38"/>
  <c r="T287" i="38" s="1"/>
  <c r="J286" i="38"/>
  <c r="S286" i="38" s="1"/>
  <c r="J285" i="38"/>
  <c r="T285" i="38" s="1"/>
  <c r="J284" i="38"/>
  <c r="S284" i="38" s="1"/>
  <c r="J283" i="38"/>
  <c r="T283" i="38" s="1"/>
  <c r="J282" i="38"/>
  <c r="S282" i="38" s="1"/>
  <c r="J281" i="38"/>
  <c r="T281" i="38" s="1"/>
  <c r="J280" i="38"/>
  <c r="S280" i="38" s="1"/>
  <c r="J279" i="38"/>
  <c r="T279" i="38" s="1"/>
  <c r="J278" i="38"/>
  <c r="S278" i="38" s="1"/>
  <c r="J277" i="38"/>
  <c r="T277" i="38" s="1"/>
  <c r="J276" i="38"/>
  <c r="V276" i="38" s="1"/>
  <c r="J275" i="38"/>
  <c r="V275" i="38" s="1"/>
  <c r="J274" i="38"/>
  <c r="Q274" i="38" s="1"/>
  <c r="J273" i="38"/>
  <c r="V273" i="38" s="1"/>
  <c r="J272" i="38"/>
  <c r="V272" i="38" s="1"/>
  <c r="J271" i="38"/>
  <c r="V271" i="38" s="1"/>
  <c r="J270" i="38"/>
  <c r="V270" i="38" s="1"/>
  <c r="J269" i="38"/>
  <c r="V269" i="38" s="1"/>
  <c r="J268" i="38"/>
  <c r="V268" i="38" s="1"/>
  <c r="J267" i="38"/>
  <c r="V267" i="38" s="1"/>
  <c r="J266" i="38"/>
  <c r="S266" i="38" s="1"/>
  <c r="J265" i="38"/>
  <c r="V265" i="38" s="1"/>
  <c r="J264" i="38"/>
  <c r="V264" i="38" s="1"/>
  <c r="J263" i="38"/>
  <c r="V263" i="38" s="1"/>
  <c r="J262" i="38"/>
  <c r="T262" i="38" s="1"/>
  <c r="J261" i="38"/>
  <c r="V261" i="38" s="1"/>
  <c r="J260" i="38"/>
  <c r="V260" i="38" s="1"/>
  <c r="J259" i="38"/>
  <c r="V259" i="38" s="1"/>
  <c r="J258" i="38"/>
  <c r="Q258" i="38" s="1"/>
  <c r="J257" i="38"/>
  <c r="V257" i="38" s="1"/>
  <c r="J256" i="38"/>
  <c r="V256" i="38" s="1"/>
  <c r="J255" i="38"/>
  <c r="V255" i="38" s="1"/>
  <c r="J254" i="38"/>
  <c r="V254" i="38" s="1"/>
  <c r="J253" i="38"/>
  <c r="V253" i="38" s="1"/>
  <c r="J252" i="38"/>
  <c r="V252" i="38" s="1"/>
  <c r="J251" i="38"/>
  <c r="V251" i="38" s="1"/>
  <c r="J250" i="38"/>
  <c r="S250" i="38" s="1"/>
  <c r="J249" i="38"/>
  <c r="V249" i="38" s="1"/>
  <c r="J248" i="38"/>
  <c r="V248" i="38" s="1"/>
  <c r="J247" i="38"/>
  <c r="V247" i="38" s="1"/>
  <c r="J246" i="38"/>
  <c r="T246" i="38" s="1"/>
  <c r="J245" i="38"/>
  <c r="V245" i="38" s="1"/>
  <c r="J244" i="38"/>
  <c r="V244" i="38" s="1"/>
  <c r="J243" i="38"/>
  <c r="V243" i="38" s="1"/>
  <c r="J242" i="38"/>
  <c r="S242" i="38" s="1"/>
  <c r="J241" i="38"/>
  <c r="S241" i="38" s="1"/>
  <c r="J240" i="38"/>
  <c r="S240" i="38" s="1"/>
  <c r="J239" i="38"/>
  <c r="S239" i="38" s="1"/>
  <c r="J238" i="38"/>
  <c r="S238" i="38" s="1"/>
  <c r="J237" i="38"/>
  <c r="S237" i="38" s="1"/>
  <c r="J236" i="38"/>
  <c r="S236" i="38" s="1"/>
  <c r="J235" i="38"/>
  <c r="S235" i="38" s="1"/>
  <c r="J234" i="38"/>
  <c r="S234" i="38" s="1"/>
  <c r="J233" i="38"/>
  <c r="S233" i="38" s="1"/>
  <c r="J232" i="38"/>
  <c r="S232" i="38" s="1"/>
  <c r="J231" i="38"/>
  <c r="S231" i="38" s="1"/>
  <c r="J230" i="38"/>
  <c r="S230" i="38" s="1"/>
  <c r="J229" i="38"/>
  <c r="S229" i="38" s="1"/>
  <c r="J228" i="38"/>
  <c r="S228" i="38" s="1"/>
  <c r="J227" i="38"/>
  <c r="S227" i="38" s="1"/>
  <c r="J226" i="38"/>
  <c r="S226" i="38" s="1"/>
  <c r="J225" i="38"/>
  <c r="S225" i="38" s="1"/>
  <c r="J224" i="38"/>
  <c r="S224" i="38" s="1"/>
  <c r="J223" i="38"/>
  <c r="S223" i="38" s="1"/>
  <c r="J222" i="38"/>
  <c r="S222" i="38" s="1"/>
  <c r="J221" i="38"/>
  <c r="S221" i="38" s="1"/>
  <c r="J220" i="38"/>
  <c r="S220" i="38" s="1"/>
  <c r="J219" i="38"/>
  <c r="S219" i="38" s="1"/>
  <c r="J218" i="38"/>
  <c r="S218" i="38" s="1"/>
  <c r="J217" i="38"/>
  <c r="S217" i="38" s="1"/>
  <c r="J216" i="38"/>
  <c r="S216" i="38" s="1"/>
  <c r="J215" i="38"/>
  <c r="S215" i="38" s="1"/>
  <c r="J214" i="38"/>
  <c r="S214" i="38" s="1"/>
  <c r="J213" i="38"/>
  <c r="S213" i="38" s="1"/>
  <c r="J212" i="38"/>
  <c r="J211" i="38"/>
  <c r="S211" i="38" s="1"/>
  <c r="J210" i="38"/>
  <c r="T210" i="38" s="1"/>
  <c r="J209" i="38"/>
  <c r="S209" i="38" s="1"/>
  <c r="J208" i="38"/>
  <c r="S208" i="38" s="1"/>
  <c r="J207" i="38"/>
  <c r="S207" i="38" s="1"/>
  <c r="J206" i="38"/>
  <c r="T206" i="38" s="1"/>
  <c r="J205" i="38"/>
  <c r="S205" i="38" s="1"/>
  <c r="J204" i="38"/>
  <c r="J203" i="38"/>
  <c r="S203" i="38" s="1"/>
  <c r="J202" i="38"/>
  <c r="T202" i="38" s="1"/>
  <c r="J201" i="38"/>
  <c r="S201" i="38" s="1"/>
  <c r="J200" i="38"/>
  <c r="T200" i="38" s="1"/>
  <c r="J199" i="38"/>
  <c r="S199" i="38" s="1"/>
  <c r="J198" i="38"/>
  <c r="T198" i="38" s="1"/>
  <c r="J197" i="38"/>
  <c r="S197" i="38" s="1"/>
  <c r="J196" i="38"/>
  <c r="J195" i="38"/>
  <c r="S195" i="38" s="1"/>
  <c r="J194" i="38"/>
  <c r="R194" i="38" s="1"/>
  <c r="J193" i="38"/>
  <c r="S193" i="38" s="1"/>
  <c r="J192" i="38"/>
  <c r="R192" i="38" s="1"/>
  <c r="J191" i="38"/>
  <c r="S191" i="38" s="1"/>
  <c r="J190" i="38"/>
  <c r="R190" i="38" s="1"/>
  <c r="J189" i="38"/>
  <c r="S189" i="38" s="1"/>
  <c r="J188" i="38"/>
  <c r="J187" i="38"/>
  <c r="S187" i="38" s="1"/>
  <c r="J186" i="38"/>
  <c r="R186" i="38" s="1"/>
  <c r="J185" i="38"/>
  <c r="S185" i="38" s="1"/>
  <c r="J184" i="38"/>
  <c r="W184" i="38" s="1"/>
  <c r="J183" i="38"/>
  <c r="S183" i="38" s="1"/>
  <c r="J182" i="38"/>
  <c r="R182" i="38" s="1"/>
  <c r="J181" i="38"/>
  <c r="S181" i="38" s="1"/>
  <c r="J180" i="38"/>
  <c r="J179" i="38"/>
  <c r="S179" i="38" s="1"/>
  <c r="J178" i="38"/>
  <c r="R178" i="38" s="1"/>
  <c r="J177" i="38"/>
  <c r="S177" i="38" s="1"/>
  <c r="J176" i="38"/>
  <c r="S176" i="38" s="1"/>
  <c r="J175" i="38"/>
  <c r="S175" i="38" s="1"/>
  <c r="J174" i="38"/>
  <c r="W174" i="38" s="1"/>
  <c r="J173" i="38"/>
  <c r="J172" i="38"/>
  <c r="S172" i="38" s="1"/>
  <c r="J171" i="38"/>
  <c r="S171" i="38" s="1"/>
  <c r="J170" i="38"/>
  <c r="J169" i="38"/>
  <c r="N169" i="38" s="1"/>
  <c r="J168" i="38"/>
  <c r="S168" i="38" s="1"/>
  <c r="J167" i="38"/>
  <c r="S167" i="38" s="1"/>
  <c r="J166" i="38"/>
  <c r="W166" i="38" s="1"/>
  <c r="J165" i="38"/>
  <c r="J164" i="38"/>
  <c r="S164" i="38" s="1"/>
  <c r="J163" i="38"/>
  <c r="S163" i="38" s="1"/>
  <c r="J162" i="38"/>
  <c r="T162" i="38" s="1"/>
  <c r="J161" i="38"/>
  <c r="V161" i="38" s="1"/>
  <c r="J160" i="38"/>
  <c r="S160" i="38" s="1"/>
  <c r="J159" i="38"/>
  <c r="S159" i="38" s="1"/>
  <c r="J158" i="38"/>
  <c r="N158" i="38" s="1"/>
  <c r="J157" i="38"/>
  <c r="T157" i="38" s="1"/>
  <c r="J156" i="38"/>
  <c r="S156" i="38" s="1"/>
  <c r="J155" i="38"/>
  <c r="S155" i="38" s="1"/>
  <c r="J154" i="38"/>
  <c r="R154" i="38" s="1"/>
  <c r="J153" i="38"/>
  <c r="V153" i="38" s="1"/>
  <c r="J152" i="38"/>
  <c r="S152" i="38" s="1"/>
  <c r="J151" i="38"/>
  <c r="S151" i="38" s="1"/>
  <c r="J150" i="38"/>
  <c r="N150" i="38" s="1"/>
  <c r="J149" i="38"/>
  <c r="V149" i="38" s="1"/>
  <c r="J148" i="38"/>
  <c r="S148" i="38" s="1"/>
  <c r="J147" i="38"/>
  <c r="S147" i="38" s="1"/>
  <c r="J146" i="38"/>
  <c r="R146" i="38" s="1"/>
  <c r="J145" i="38"/>
  <c r="V145" i="38" s="1"/>
  <c r="J144" i="38"/>
  <c r="S144" i="38" s="1"/>
  <c r="J143" i="38"/>
  <c r="S143" i="38" s="1"/>
  <c r="J142" i="38"/>
  <c r="N142" i="38" s="1"/>
  <c r="J141" i="38"/>
  <c r="V141" i="38" s="1"/>
  <c r="J140" i="38"/>
  <c r="S140" i="38" s="1"/>
  <c r="J139" i="38"/>
  <c r="S139" i="38" s="1"/>
  <c r="J138" i="38"/>
  <c r="R138" i="38" s="1"/>
  <c r="J137" i="38"/>
  <c r="V137" i="38" s="1"/>
  <c r="J136" i="38"/>
  <c r="S136" i="38" s="1"/>
  <c r="J135" i="38"/>
  <c r="J134" i="38"/>
  <c r="N134" i="38" s="1"/>
  <c r="J133" i="38"/>
  <c r="J132" i="38"/>
  <c r="J131" i="38"/>
  <c r="J130" i="38"/>
  <c r="J129" i="38"/>
  <c r="J128" i="38"/>
  <c r="J127" i="38"/>
  <c r="J126" i="38"/>
  <c r="N126" i="38" s="1"/>
  <c r="J125" i="38"/>
  <c r="J124" i="38"/>
  <c r="J123" i="38"/>
  <c r="J122" i="38"/>
  <c r="J121" i="38"/>
  <c r="J120" i="38"/>
  <c r="J119" i="38"/>
  <c r="J118" i="38"/>
  <c r="N118" i="38" s="1"/>
  <c r="J117" i="38"/>
  <c r="J116" i="38"/>
  <c r="J115" i="38"/>
  <c r="J114" i="38"/>
  <c r="J113" i="38"/>
  <c r="J112" i="38"/>
  <c r="J111" i="38"/>
  <c r="J110" i="38"/>
  <c r="J109" i="38"/>
  <c r="J108" i="38"/>
  <c r="J107" i="38"/>
  <c r="J106" i="38"/>
  <c r="J105" i="38"/>
  <c r="J104" i="38"/>
  <c r="J103" i="38"/>
  <c r="J102" i="38"/>
  <c r="J101" i="38"/>
  <c r="J100" i="38"/>
  <c r="J99" i="38"/>
  <c r="J98" i="38"/>
  <c r="J97" i="38"/>
  <c r="J96" i="38"/>
  <c r="J95" i="38"/>
  <c r="O95" i="38" s="1"/>
  <c r="J94" i="38"/>
  <c r="B89" i="38" a="1"/>
  <c r="B89" i="38" s="1"/>
  <c r="J93" i="38"/>
  <c r="B88" i="38" a="1"/>
  <c r="C88" i="38" s="1"/>
  <c r="J92" i="38"/>
  <c r="J91" i="38"/>
  <c r="B86" i="38" a="1"/>
  <c r="D86" i="38" s="1"/>
  <c r="J90" i="38"/>
  <c r="O90" i="38" s="1"/>
  <c r="B85" i="38" a="1"/>
  <c r="D85" i="38" s="1"/>
  <c r="J89" i="38"/>
  <c r="O89" i="38" s="1"/>
  <c r="J88" i="38"/>
  <c r="B83" i="38" a="1"/>
  <c r="J87" i="38"/>
  <c r="B82" i="38" a="1"/>
  <c r="C82" i="38" s="1"/>
  <c r="J86" i="38"/>
  <c r="M86" i="38" s="1"/>
  <c r="J85" i="38"/>
  <c r="J84" i="38"/>
  <c r="J83" i="38"/>
  <c r="J82" i="38"/>
  <c r="J81" i="38"/>
  <c r="J80" i="38"/>
  <c r="O80" i="38" s="1"/>
  <c r="J79" i="38"/>
  <c r="J78" i="38"/>
  <c r="O78" i="38" s="1"/>
  <c r="J77" i="38"/>
  <c r="J76" i="38"/>
  <c r="O76" i="38" s="1"/>
  <c r="J75" i="38"/>
  <c r="J74" i="38"/>
  <c r="O74" i="38" s="1"/>
  <c r="J73" i="38"/>
  <c r="J72" i="38"/>
  <c r="O72" i="38" s="1"/>
  <c r="J71" i="38"/>
  <c r="J70" i="38"/>
  <c r="O70" i="38" s="1"/>
  <c r="J69" i="38"/>
  <c r="J68" i="38"/>
  <c r="O68" i="38" s="1"/>
  <c r="J67" i="38"/>
  <c r="J66" i="38"/>
  <c r="O66" i="38" s="1"/>
  <c r="J65" i="38"/>
  <c r="J64" i="38"/>
  <c r="O64" i="38" s="1"/>
  <c r="J63" i="38"/>
  <c r="J62" i="38"/>
  <c r="O62" i="38" s="1"/>
  <c r="J61" i="38"/>
  <c r="J60" i="38"/>
  <c r="O60" i="38" s="1"/>
  <c r="J59" i="38"/>
  <c r="J58" i="38"/>
  <c r="O58" i="38" s="1"/>
  <c r="J57" i="38"/>
  <c r="J56" i="38"/>
  <c r="O56" i="38" s="1"/>
  <c r="J55" i="38"/>
  <c r="J54" i="38"/>
  <c r="O54" i="38" s="1"/>
  <c r="J53" i="38"/>
  <c r="J52" i="38"/>
  <c r="O52" i="38" s="1"/>
  <c r="J51" i="38"/>
  <c r="J50" i="38"/>
  <c r="O50" i="38" s="1"/>
  <c r="J49" i="38"/>
  <c r="J48" i="38"/>
  <c r="O48" i="38" s="1"/>
  <c r="J47" i="38"/>
  <c r="J46" i="38"/>
  <c r="O46" i="38" s="1"/>
  <c r="J45" i="38"/>
  <c r="J44" i="38"/>
  <c r="O44" i="38" s="1"/>
  <c r="J43" i="38"/>
  <c r="J42" i="38"/>
  <c r="O42" i="38" s="1"/>
  <c r="J41" i="38"/>
  <c r="J40" i="38"/>
  <c r="O40" i="38" s="1"/>
  <c r="J39" i="38"/>
  <c r="J38" i="38"/>
  <c r="O38" i="38" s="1"/>
  <c r="J37" i="38"/>
  <c r="J36" i="38"/>
  <c r="O36" i="38" s="1"/>
  <c r="J35" i="38"/>
  <c r="J34" i="38"/>
  <c r="J33" i="38"/>
  <c r="J32" i="38"/>
  <c r="O32" i="38" s="1"/>
  <c r="J31" i="38"/>
  <c r="J30" i="38"/>
  <c r="J29" i="38"/>
  <c r="J28" i="38"/>
  <c r="J27" i="38"/>
  <c r="J26" i="38"/>
  <c r="J25" i="38"/>
  <c r="J24" i="38"/>
  <c r="O24" i="38" s="1"/>
  <c r="J23" i="38"/>
  <c r="J22" i="38"/>
  <c r="J21" i="38"/>
  <c r="J20" i="38"/>
  <c r="O20" i="38" s="1"/>
  <c r="J19" i="38"/>
  <c r="J18" i="38"/>
  <c r="J17" i="38"/>
  <c r="O16" i="38"/>
  <c r="N16" i="38"/>
  <c r="M16" i="38"/>
  <c r="L16" i="38"/>
  <c r="K16" i="38"/>
  <c r="K17" i="38" l="1"/>
  <c r="O96" i="38"/>
  <c r="L296" i="38"/>
  <c r="O69" i="38"/>
  <c r="M186" i="38"/>
  <c r="O237" i="38"/>
  <c r="Q298" i="38"/>
  <c r="K23" i="38"/>
  <c r="Q270" i="38"/>
  <c r="T164" i="38"/>
  <c r="K21" i="38"/>
  <c r="O37" i="38"/>
  <c r="K69" i="38"/>
  <c r="L108" i="38"/>
  <c r="N140" i="38"/>
  <c r="S262" i="38"/>
  <c r="K33" i="38"/>
  <c r="L61" i="38"/>
  <c r="L93" i="38"/>
  <c r="T154" i="38"/>
  <c r="Q254" i="38"/>
  <c r="L29" i="38"/>
  <c r="K41" i="38"/>
  <c r="L69" i="38"/>
  <c r="K77" i="38"/>
  <c r="O77" i="38"/>
  <c r="M95" i="38"/>
  <c r="L110" i="38"/>
  <c r="L132" i="38"/>
  <c r="T166" i="38"/>
  <c r="K192" i="38"/>
  <c r="Q199" i="38"/>
  <c r="P209" i="38"/>
  <c r="O235" i="38"/>
  <c r="T255" i="38"/>
  <c r="Q263" i="38"/>
  <c r="T271" i="38"/>
  <c r="V296" i="38"/>
  <c r="K25" i="38"/>
  <c r="O29" i="38"/>
  <c r="L45" i="38"/>
  <c r="L53" i="38"/>
  <c r="K61" i="38"/>
  <c r="O61" i="38"/>
  <c r="K93" i="38"/>
  <c r="L37" i="38"/>
  <c r="K53" i="38"/>
  <c r="O53" i="38"/>
  <c r="L77" i="38"/>
  <c r="O229" i="38"/>
  <c r="S246" i="38"/>
  <c r="S255" i="38"/>
  <c r="Q262" i="38"/>
  <c r="S263" i="38"/>
  <c r="T270" i="38"/>
  <c r="S271" i="38"/>
  <c r="L21" i="38"/>
  <c r="O21" i="38"/>
  <c r="L25" i="38"/>
  <c r="O25" i="38"/>
  <c r="L33" i="38"/>
  <c r="O33" i="38"/>
  <c r="L41" i="38"/>
  <c r="O41" i="38"/>
  <c r="K49" i="38"/>
  <c r="K57" i="38"/>
  <c r="K65" i="38"/>
  <c r="K73" i="38"/>
  <c r="K81" i="38"/>
  <c r="L100" i="38"/>
  <c r="N121" i="38"/>
  <c r="L129" i="38"/>
  <c r="N132" i="38"/>
  <c r="L137" i="38"/>
  <c r="T141" i="38"/>
  <c r="P143" i="38"/>
  <c r="N153" i="38"/>
  <c r="L161" i="38"/>
  <c r="T174" i="38"/>
  <c r="P187" i="38"/>
  <c r="P189" i="38"/>
  <c r="P191" i="38"/>
  <c r="T192" i="38"/>
  <c r="P203" i="38"/>
  <c r="P205" i="38"/>
  <c r="O209" i="38"/>
  <c r="O233" i="38"/>
  <c r="O241" i="38"/>
  <c r="V288" i="38"/>
  <c r="L304" i="38"/>
  <c r="N129" i="38"/>
  <c r="N161" i="38"/>
  <c r="W192" i="38"/>
  <c r="Q246" i="38"/>
  <c r="S247" i="38"/>
  <c r="T254" i="38"/>
  <c r="K29" i="38"/>
  <c r="K37" i="38"/>
  <c r="K45" i="38"/>
  <c r="L49" i="38"/>
  <c r="O49" i="38"/>
  <c r="L57" i="38"/>
  <c r="O57" i="38"/>
  <c r="L65" i="38"/>
  <c r="O65" i="38"/>
  <c r="L73" i="38"/>
  <c r="O73" i="38"/>
  <c r="L102" i="38"/>
  <c r="N127" i="38"/>
  <c r="N135" i="38"/>
  <c r="T137" i="38"/>
  <c r="L140" i="38"/>
  <c r="T143" i="38"/>
  <c r="W156" i="38"/>
  <c r="N159" i="38"/>
  <c r="T161" i="38"/>
  <c r="T172" i="38"/>
  <c r="T186" i="38"/>
  <c r="O187" i="38"/>
  <c r="O189" i="38"/>
  <c r="O191" i="38"/>
  <c r="M192" i="38"/>
  <c r="O203" i="38"/>
  <c r="O205" i="38"/>
  <c r="P221" i="38"/>
  <c r="O231" i="38"/>
  <c r="O239" i="38"/>
  <c r="Q247" i="38"/>
  <c r="V304" i="38"/>
  <c r="K27" i="38"/>
  <c r="K31" i="38"/>
  <c r="K35" i="38"/>
  <c r="K39" i="38"/>
  <c r="K43" i="38"/>
  <c r="K47" i="38"/>
  <c r="K51" i="38"/>
  <c r="K55" i="38"/>
  <c r="K59" i="38"/>
  <c r="K63" i="38"/>
  <c r="K67" i="38"/>
  <c r="K71" i="38"/>
  <c r="K75" i="38"/>
  <c r="K79" i="38"/>
  <c r="K85" i="38"/>
  <c r="K91" i="38"/>
  <c r="L104" i="38"/>
  <c r="L112" i="38"/>
  <c r="L116" i="38"/>
  <c r="T138" i="38"/>
  <c r="L145" i="38"/>
  <c r="L148" i="38"/>
  <c r="T149" i="38"/>
  <c r="P151" i="38"/>
  <c r="S153" i="38"/>
  <c r="N166" i="38"/>
  <c r="T167" i="38"/>
  <c r="N174" i="38"/>
  <c r="T175" i="38"/>
  <c r="T178" i="38"/>
  <c r="K184" i="38"/>
  <c r="P185" i="38"/>
  <c r="V199" i="38"/>
  <c r="L207" i="38"/>
  <c r="N208" i="38"/>
  <c r="T250" i="38"/>
  <c r="S254" i="38"/>
  <c r="T266" i="38"/>
  <c r="S270" i="38"/>
  <c r="L280" i="38"/>
  <c r="Q282" i="38"/>
  <c r="V284" i="38"/>
  <c r="L292" i="38"/>
  <c r="L308" i="38"/>
  <c r="N85" i="38"/>
  <c r="S145" i="38"/>
  <c r="Q276" i="38"/>
  <c r="L284" i="38"/>
  <c r="O27" i="38"/>
  <c r="O31" i="38"/>
  <c r="O39" i="38"/>
  <c r="O43" i="38"/>
  <c r="O47" i="38"/>
  <c r="O51" i="38"/>
  <c r="O55" i="38"/>
  <c r="O59" i="38"/>
  <c r="O63" i="38"/>
  <c r="O67" i="38"/>
  <c r="O71" i="38"/>
  <c r="O75" i="38"/>
  <c r="O79" i="38"/>
  <c r="O91" i="38"/>
  <c r="L95" i="38"/>
  <c r="N119" i="38"/>
  <c r="N124" i="38"/>
  <c r="S137" i="38"/>
  <c r="N145" i="38"/>
  <c r="W148" i="38"/>
  <c r="N151" i="38"/>
  <c r="T153" i="38"/>
  <c r="N156" i="38"/>
  <c r="V157" i="38"/>
  <c r="T159" i="38"/>
  <c r="L166" i="38"/>
  <c r="S166" i="38"/>
  <c r="L174" i="38"/>
  <c r="S174" i="38"/>
  <c r="S184" i="38"/>
  <c r="S194" i="38"/>
  <c r="P199" i="38"/>
  <c r="V207" i="38"/>
  <c r="S210" i="38"/>
  <c r="O223" i="38"/>
  <c r="O225" i="38"/>
  <c r="O227" i="38"/>
  <c r="O23" i="38"/>
  <c r="L23" i="38"/>
  <c r="L27" i="38"/>
  <c r="L31" i="38"/>
  <c r="L35" i="38"/>
  <c r="L39" i="38"/>
  <c r="L43" i="38"/>
  <c r="L47" i="38"/>
  <c r="L51" i="38"/>
  <c r="L55" i="38"/>
  <c r="L59" i="38"/>
  <c r="L63" i="38"/>
  <c r="L67" i="38"/>
  <c r="L71" i="38"/>
  <c r="L75" i="38"/>
  <c r="L79" i="38"/>
  <c r="N81" i="38"/>
  <c r="L91" i="38"/>
  <c r="O93" i="38"/>
  <c r="K95" i="38"/>
  <c r="L106" i="38"/>
  <c r="N116" i="38"/>
  <c r="L121" i="38"/>
  <c r="L124" i="38"/>
  <c r="N137" i="38"/>
  <c r="W140" i="38"/>
  <c r="N143" i="38"/>
  <c r="T145" i="38"/>
  <c r="T146" i="38"/>
  <c r="N148" i="38"/>
  <c r="T151" i="38"/>
  <c r="L153" i="38"/>
  <c r="L156" i="38"/>
  <c r="P159" i="38"/>
  <c r="S161" i="38"/>
  <c r="K166" i="38"/>
  <c r="R166" i="38"/>
  <c r="K174" i="38"/>
  <c r="R174" i="38"/>
  <c r="S178" i="38"/>
  <c r="M184" i="38"/>
  <c r="O185" i="38"/>
  <c r="S186" i="38"/>
  <c r="S192" i="38"/>
  <c r="T194" i="38"/>
  <c r="L199" i="38"/>
  <c r="O199" i="38"/>
  <c r="N202" i="38"/>
  <c r="Q207" i="38"/>
  <c r="N210" i="38"/>
  <c r="P223" i="38"/>
  <c r="P225" i="38"/>
  <c r="P227" i="38"/>
  <c r="P229" i="38"/>
  <c r="P231" i="38"/>
  <c r="P233" i="38"/>
  <c r="P235" i="38"/>
  <c r="P237" i="38"/>
  <c r="P239" i="38"/>
  <c r="P241" i="38"/>
  <c r="Q243" i="38"/>
  <c r="L246" i="38"/>
  <c r="T247" i="38"/>
  <c r="Q248" i="38"/>
  <c r="L254" i="38"/>
  <c r="Q256" i="38"/>
  <c r="Q259" i="38"/>
  <c r="L262" i="38"/>
  <c r="T263" i="38"/>
  <c r="Q264" i="38"/>
  <c r="L270" i="38"/>
  <c r="Q272" i="38"/>
  <c r="S275" i="38"/>
  <c r="V280" i="38"/>
  <c r="L288" i="38"/>
  <c r="Q290" i="38"/>
  <c r="V292" i="38"/>
  <c r="L300" i="38"/>
  <c r="L312" i="38"/>
  <c r="B88" i="38"/>
  <c r="D88" i="38"/>
  <c r="B85" i="38"/>
  <c r="O82" i="38"/>
  <c r="K82" i="38"/>
  <c r="L82" i="38"/>
  <c r="O84" i="38"/>
  <c r="K84" i="38"/>
  <c r="L84" i="38"/>
  <c r="N88" i="38"/>
  <c r="K88" i="38"/>
  <c r="L88" i="38"/>
  <c r="O19" i="38"/>
  <c r="L17" i="38"/>
  <c r="L19" i="38"/>
  <c r="E83" i="38"/>
  <c r="D83" i="38"/>
  <c r="B83" i="38"/>
  <c r="T112" i="38" s="1"/>
  <c r="C83" i="38"/>
  <c r="O17" i="38"/>
  <c r="K19" i="38"/>
  <c r="O86" i="38"/>
  <c r="K86" i="38"/>
  <c r="L86" i="38"/>
  <c r="K87" i="38"/>
  <c r="M17" i="38"/>
  <c r="M19" i="38"/>
  <c r="M82" i="38"/>
  <c r="M84" i="38"/>
  <c r="L90" i="38"/>
  <c r="E86" i="38"/>
  <c r="N97" i="38"/>
  <c r="O98" i="38"/>
  <c r="Q142" i="38"/>
  <c r="W142" i="38"/>
  <c r="Q150" i="38"/>
  <c r="W150" i="38"/>
  <c r="Q158" i="38"/>
  <c r="W158" i="38"/>
  <c r="U169" i="38"/>
  <c r="U177" i="38"/>
  <c r="U179" i="38"/>
  <c r="U181" i="38"/>
  <c r="U183" i="38"/>
  <c r="U193" i="38"/>
  <c r="U195" i="38"/>
  <c r="U197" i="38"/>
  <c r="U201" i="38"/>
  <c r="U211" i="38"/>
  <c r="U213" i="38"/>
  <c r="U215" i="38"/>
  <c r="U217" i="38"/>
  <c r="U219" i="38"/>
  <c r="U221" i="38"/>
  <c r="U223" i="38"/>
  <c r="U225" i="38"/>
  <c r="U227" i="38"/>
  <c r="U229" i="38"/>
  <c r="U231" i="38"/>
  <c r="U233" i="38"/>
  <c r="U235" i="38"/>
  <c r="U237" i="38"/>
  <c r="U239" i="38"/>
  <c r="U241" i="38"/>
  <c r="V250" i="38"/>
  <c r="Q251" i="38"/>
  <c r="T258" i="38"/>
  <c r="V266" i="38"/>
  <c r="Q267" i="38"/>
  <c r="T274" i="38"/>
  <c r="Q278" i="38"/>
  <c r="Q286" i="38"/>
  <c r="Q294" i="38"/>
  <c r="V300" i="38"/>
  <c r="Q302" i="38"/>
  <c r="V308" i="38"/>
  <c r="Q310" i="38"/>
  <c r="K90" i="38"/>
  <c r="O94" i="38"/>
  <c r="L98" i="38"/>
  <c r="U137" i="38"/>
  <c r="R140" i="38"/>
  <c r="T142" i="38"/>
  <c r="S142" i="38"/>
  <c r="U145" i="38"/>
  <c r="R148" i="38"/>
  <c r="T150" i="38"/>
  <c r="S150" i="38"/>
  <c r="U153" i="38"/>
  <c r="R156" i="38"/>
  <c r="T158" i="38"/>
  <c r="S158" i="38"/>
  <c r="U161" i="38"/>
  <c r="L164" i="38"/>
  <c r="W164" i="38"/>
  <c r="P167" i="38"/>
  <c r="T169" i="38"/>
  <c r="S169" i="38"/>
  <c r="L172" i="38"/>
  <c r="W172" i="38"/>
  <c r="P175" i="38"/>
  <c r="Q177" i="38"/>
  <c r="W178" i="38"/>
  <c r="Q179" i="38"/>
  <c r="Q181" i="38"/>
  <c r="Q183" i="38"/>
  <c r="R184" i="38"/>
  <c r="L185" i="38"/>
  <c r="V185" i="38"/>
  <c r="L187" i="38"/>
  <c r="V187" i="38"/>
  <c r="L189" i="38"/>
  <c r="V189" i="38"/>
  <c r="L191" i="38"/>
  <c r="V191" i="38"/>
  <c r="Q193" i="38"/>
  <c r="W194" i="38"/>
  <c r="Q195" i="38"/>
  <c r="Q197" i="38"/>
  <c r="S200" i="38"/>
  <c r="Q201" i="38"/>
  <c r="L203" i="38"/>
  <c r="V203" i="38"/>
  <c r="L205" i="38"/>
  <c r="V205" i="38"/>
  <c r="U207" i="38"/>
  <c r="T208" i="38"/>
  <c r="L209" i="38"/>
  <c r="V209" i="38"/>
  <c r="Q211" i="38"/>
  <c r="Q213" i="38"/>
  <c r="Q215" i="38"/>
  <c r="Q217" i="38"/>
  <c r="Q219" i="38"/>
  <c r="Q221" i="38"/>
  <c r="Q223" i="38"/>
  <c r="Q225" i="38"/>
  <c r="Q227" i="38"/>
  <c r="Q229" i="38"/>
  <c r="Q231" i="38"/>
  <c r="Q233" i="38"/>
  <c r="Q235" i="38"/>
  <c r="Q237" i="38"/>
  <c r="Q239" i="38"/>
  <c r="Q241" i="38"/>
  <c r="S243" i="38"/>
  <c r="V246" i="38"/>
  <c r="Q250" i="38"/>
  <c r="T251" i="38"/>
  <c r="Q252" i="38"/>
  <c r="L258" i="38"/>
  <c r="S258" i="38"/>
  <c r="S259" i="38"/>
  <c r="V262" i="38"/>
  <c r="Q266" i="38"/>
  <c r="T267" i="38"/>
  <c r="Q268" i="38"/>
  <c r="L274" i="38"/>
  <c r="S274" i="38"/>
  <c r="L278" i="38"/>
  <c r="V282" i="38"/>
  <c r="Q284" i="38"/>
  <c r="L286" i="38"/>
  <c r="V290" i="38"/>
  <c r="Q292" i="38"/>
  <c r="L294" i="38"/>
  <c r="V298" i="38"/>
  <c r="Q300" i="38"/>
  <c r="L302" i="38"/>
  <c r="V306" i="38"/>
  <c r="Q308" i="38"/>
  <c r="L310" i="38"/>
  <c r="V314" i="38"/>
  <c r="E89" i="38"/>
  <c r="L118" i="38"/>
  <c r="L126" i="38"/>
  <c r="L134" i="38"/>
  <c r="L142" i="38"/>
  <c r="R142" i="38"/>
  <c r="L150" i="38"/>
  <c r="R150" i="38"/>
  <c r="L158" i="38"/>
  <c r="R158" i="38"/>
  <c r="R164" i="38"/>
  <c r="V167" i="38"/>
  <c r="P169" i="38"/>
  <c r="V169" i="38"/>
  <c r="R172" i="38"/>
  <c r="V175" i="38"/>
  <c r="P177" i="38"/>
  <c r="O177" i="38"/>
  <c r="P179" i="38"/>
  <c r="O179" i="38"/>
  <c r="P181" i="38"/>
  <c r="O181" i="38"/>
  <c r="P183" i="38"/>
  <c r="O183" i="38"/>
  <c r="U185" i="38"/>
  <c r="U187" i="38"/>
  <c r="U189" i="38"/>
  <c r="U191" i="38"/>
  <c r="P193" i="38"/>
  <c r="O193" i="38"/>
  <c r="P195" i="38"/>
  <c r="O195" i="38"/>
  <c r="P197" i="38"/>
  <c r="O197" i="38"/>
  <c r="N200" i="38"/>
  <c r="P201" i="38"/>
  <c r="O201" i="38"/>
  <c r="U203" i="38"/>
  <c r="U205" i="38"/>
  <c r="U209" i="38"/>
  <c r="P211" i="38"/>
  <c r="O211" i="38"/>
  <c r="P213" i="38"/>
  <c r="O213" i="38"/>
  <c r="P215" i="38"/>
  <c r="O215" i="38"/>
  <c r="P217" i="38"/>
  <c r="O217" i="38"/>
  <c r="P219" i="38"/>
  <c r="O219" i="38"/>
  <c r="O221" i="38"/>
  <c r="V258" i="38"/>
  <c r="V274" i="38"/>
  <c r="Q306" i="38"/>
  <c r="V312" i="38"/>
  <c r="Q314" i="38"/>
  <c r="M21" i="38"/>
  <c r="M23" i="38"/>
  <c r="M25" i="38"/>
  <c r="M27" i="38"/>
  <c r="M29" i="38"/>
  <c r="M31" i="38"/>
  <c r="M33" i="38"/>
  <c r="M35" i="38"/>
  <c r="M37" i="38"/>
  <c r="M39" i="38"/>
  <c r="M41" i="38"/>
  <c r="M43" i="38"/>
  <c r="M45" i="38"/>
  <c r="M47" i="38"/>
  <c r="M49" i="38"/>
  <c r="M51" i="38"/>
  <c r="M53" i="38"/>
  <c r="M55" i="38"/>
  <c r="M57" i="38"/>
  <c r="M59" i="38"/>
  <c r="M61" i="38"/>
  <c r="M63" i="38"/>
  <c r="M65" i="38"/>
  <c r="M67" i="38"/>
  <c r="M69" i="38"/>
  <c r="M71" i="38"/>
  <c r="M73" i="38"/>
  <c r="M75" i="38"/>
  <c r="M77" i="38"/>
  <c r="M79" i="38"/>
  <c r="C85" i="38"/>
  <c r="M90" i="38"/>
  <c r="M91" i="38"/>
  <c r="M93" i="38"/>
  <c r="O100" i="38"/>
  <c r="O102" i="38"/>
  <c r="O104" i="38"/>
  <c r="O106" i="38"/>
  <c r="O108" i="38"/>
  <c r="O110" i="38"/>
  <c r="O112" i="38"/>
  <c r="K118" i="38"/>
  <c r="K126" i="38"/>
  <c r="K134" i="38"/>
  <c r="P137" i="38"/>
  <c r="T140" i="38"/>
  <c r="K142" i="38"/>
  <c r="V143" i="38"/>
  <c r="P145" i="38"/>
  <c r="T148" i="38"/>
  <c r="K150" i="38"/>
  <c r="V151" i="38"/>
  <c r="P153" i="38"/>
  <c r="T156" i="38"/>
  <c r="K158" i="38"/>
  <c r="V159" i="38"/>
  <c r="P161" i="38"/>
  <c r="N164" i="38"/>
  <c r="Q166" i="38"/>
  <c r="N167" i="38"/>
  <c r="L169" i="38"/>
  <c r="N172" i="38"/>
  <c r="Q174" i="38"/>
  <c r="N175" i="38"/>
  <c r="L177" i="38"/>
  <c r="V177" i="38"/>
  <c r="M178" i="38"/>
  <c r="L179" i="38"/>
  <c r="V179" i="38"/>
  <c r="L181" i="38"/>
  <c r="V181" i="38"/>
  <c r="L183" i="38"/>
  <c r="V183" i="38"/>
  <c r="T184" i="38"/>
  <c r="Q185" i="38"/>
  <c r="W186" i="38"/>
  <c r="Q187" i="38"/>
  <c r="Q189" i="38"/>
  <c r="Q191" i="38"/>
  <c r="L193" i="38"/>
  <c r="V193" i="38"/>
  <c r="M194" i="38"/>
  <c r="L195" i="38"/>
  <c r="V195" i="38"/>
  <c r="L197" i="38"/>
  <c r="V197" i="38"/>
  <c r="U199" i="38"/>
  <c r="L201" i="38"/>
  <c r="V201" i="38"/>
  <c r="S202" i="38"/>
  <c r="Q203" i="38"/>
  <c r="Q205" i="38"/>
  <c r="P207" i="38"/>
  <c r="O207" i="38"/>
  <c r="Q209" i="38"/>
  <c r="L211" i="38"/>
  <c r="V211" i="38"/>
  <c r="L213" i="38"/>
  <c r="V213" i="38"/>
  <c r="L215" i="38"/>
  <c r="V215" i="38"/>
  <c r="L217" i="38"/>
  <c r="V217" i="38"/>
  <c r="L219" i="38"/>
  <c r="V219" i="38"/>
  <c r="L221" i="38"/>
  <c r="V221" i="38"/>
  <c r="L223" i="38"/>
  <c r="V223" i="38"/>
  <c r="L225" i="38"/>
  <c r="V225" i="38"/>
  <c r="L227" i="38"/>
  <c r="V227" i="38"/>
  <c r="L229" i="38"/>
  <c r="V229" i="38"/>
  <c r="L231" i="38"/>
  <c r="V231" i="38"/>
  <c r="L233" i="38"/>
  <c r="V233" i="38"/>
  <c r="L235" i="38"/>
  <c r="V235" i="38"/>
  <c r="L237" i="38"/>
  <c r="V237" i="38"/>
  <c r="L239" i="38"/>
  <c r="V239" i="38"/>
  <c r="L241" i="38"/>
  <c r="V241" i="38"/>
  <c r="T243" i="38"/>
  <c r="Q244" i="38"/>
  <c r="L250" i="38"/>
  <c r="S251" i="38"/>
  <c r="Q255" i="38"/>
  <c r="T259" i="38"/>
  <c r="Q260" i="38"/>
  <c r="L266" i="38"/>
  <c r="S267" i="38"/>
  <c r="Q271" i="38"/>
  <c r="T275" i="38"/>
  <c r="V278" i="38"/>
  <c r="Q280" i="38"/>
  <c r="L282" i="38"/>
  <c r="V286" i="38"/>
  <c r="Q288" i="38"/>
  <c r="L290" i="38"/>
  <c r="V294" i="38"/>
  <c r="Q296" i="38"/>
  <c r="L298" i="38"/>
  <c r="V302" i="38"/>
  <c r="Q304" i="38"/>
  <c r="L306" i="38"/>
  <c r="V310" i="38"/>
  <c r="Q312" i="38"/>
  <c r="L314" i="38"/>
  <c r="L81" i="38"/>
  <c r="L85" i="38"/>
  <c r="O88" i="38"/>
  <c r="B86" i="38"/>
  <c r="U117" i="38" s="1"/>
  <c r="C86" i="38"/>
  <c r="M94" i="38"/>
  <c r="K94" i="38"/>
  <c r="L94" i="38"/>
  <c r="L97" i="38"/>
  <c r="O97" i="38"/>
  <c r="M97" i="38"/>
  <c r="K97" i="38"/>
  <c r="N18" i="38"/>
  <c r="N22" i="38"/>
  <c r="N24" i="38"/>
  <c r="N26" i="38"/>
  <c r="O18" i="38"/>
  <c r="O22" i="38"/>
  <c r="O26" i="38"/>
  <c r="O28" i="38"/>
  <c r="O34" i="38"/>
  <c r="N17" i="38"/>
  <c r="L18" i="38"/>
  <c r="N19" i="38"/>
  <c r="L20" i="38"/>
  <c r="N21" i="38"/>
  <c r="L22" i="38"/>
  <c r="N23" i="38"/>
  <c r="L24" i="38"/>
  <c r="N25" i="38"/>
  <c r="L26" i="38"/>
  <c r="N27" i="38"/>
  <c r="L28" i="38"/>
  <c r="N29" i="38"/>
  <c r="L30" i="38"/>
  <c r="N31" i="38"/>
  <c r="L32" i="38"/>
  <c r="N33" i="38"/>
  <c r="L34" i="38"/>
  <c r="N35" i="38"/>
  <c r="L36" i="38"/>
  <c r="N37" i="38"/>
  <c r="L38" i="38"/>
  <c r="N39" i="38"/>
  <c r="L40" i="38"/>
  <c r="N41" i="38"/>
  <c r="L42" i="38"/>
  <c r="N43" i="38"/>
  <c r="L44" i="38"/>
  <c r="N45" i="38"/>
  <c r="L46" i="38"/>
  <c r="N47" i="38"/>
  <c r="L48" i="38"/>
  <c r="N49" i="38"/>
  <c r="L50" i="38"/>
  <c r="N51" i="38"/>
  <c r="L52" i="38"/>
  <c r="N53" i="38"/>
  <c r="L54" i="38"/>
  <c r="N55" i="38"/>
  <c r="L56" i="38"/>
  <c r="N57" i="38"/>
  <c r="L58" i="38"/>
  <c r="N59" i="38"/>
  <c r="L60" i="38"/>
  <c r="N61" i="38"/>
  <c r="L62" i="38"/>
  <c r="N63" i="38"/>
  <c r="L64" i="38"/>
  <c r="N65" i="38"/>
  <c r="L66" i="38"/>
  <c r="N67" i="38"/>
  <c r="L68" i="38"/>
  <c r="N69" i="38"/>
  <c r="L70" i="38"/>
  <c r="N71" i="38"/>
  <c r="L72" i="38"/>
  <c r="N73" i="38"/>
  <c r="L74" i="38"/>
  <c r="N75" i="38"/>
  <c r="L76" i="38"/>
  <c r="N77" i="38"/>
  <c r="L78" i="38"/>
  <c r="N79" i="38"/>
  <c r="L80" i="38"/>
  <c r="M81" i="38"/>
  <c r="O81" i="38"/>
  <c r="N83" i="38"/>
  <c r="M85" i="38"/>
  <c r="O85" i="38"/>
  <c r="D82" i="38"/>
  <c r="P109" i="38" s="1"/>
  <c r="M88" i="38"/>
  <c r="N94" i="38"/>
  <c r="L99" i="38"/>
  <c r="O99" i="38"/>
  <c r="M99" i="38"/>
  <c r="K99" i="38"/>
  <c r="N20" i="38"/>
  <c r="K18" i="38"/>
  <c r="M18" i="38"/>
  <c r="K20" i="38"/>
  <c r="M20" i="38"/>
  <c r="K22" i="38"/>
  <c r="M22" i="38"/>
  <c r="K24" i="38"/>
  <c r="M24" i="38"/>
  <c r="K26" i="38"/>
  <c r="M26" i="38"/>
  <c r="K28" i="38"/>
  <c r="M28" i="38"/>
  <c r="K30" i="38"/>
  <c r="M30" i="38"/>
  <c r="K32" i="38"/>
  <c r="M32" i="38"/>
  <c r="K34" i="38"/>
  <c r="M34" i="38"/>
  <c r="K36" i="38"/>
  <c r="M36" i="38"/>
  <c r="K38" i="38"/>
  <c r="M38" i="38"/>
  <c r="K40" i="38"/>
  <c r="M40" i="38"/>
  <c r="K42" i="38"/>
  <c r="M42" i="38"/>
  <c r="K44" i="38"/>
  <c r="M44" i="38"/>
  <c r="K46" i="38"/>
  <c r="M46" i="38"/>
  <c r="K48" i="38"/>
  <c r="M48" i="38"/>
  <c r="K50" i="38"/>
  <c r="M50" i="38"/>
  <c r="K52" i="38"/>
  <c r="M52" i="38"/>
  <c r="K54" i="38"/>
  <c r="M54" i="38"/>
  <c r="K56" i="38"/>
  <c r="M56" i="38"/>
  <c r="K58" i="38"/>
  <c r="M58" i="38"/>
  <c r="K60" i="38"/>
  <c r="M60" i="38"/>
  <c r="K62" i="38"/>
  <c r="M62" i="38"/>
  <c r="K64" i="38"/>
  <c r="M64" i="38"/>
  <c r="K66" i="38"/>
  <c r="M66" i="38"/>
  <c r="K68" i="38"/>
  <c r="M68" i="38"/>
  <c r="K70" i="38"/>
  <c r="M70" i="38"/>
  <c r="K72" i="38"/>
  <c r="M72" i="38"/>
  <c r="K74" i="38"/>
  <c r="M74" i="38"/>
  <c r="K76" i="38"/>
  <c r="M76" i="38"/>
  <c r="K78" i="38"/>
  <c r="M78" i="38"/>
  <c r="K80" i="38"/>
  <c r="M80" i="38"/>
  <c r="K83" i="38"/>
  <c r="B82" i="38"/>
  <c r="N87" i="38"/>
  <c r="K92" i="38"/>
  <c r="L83" i="38"/>
  <c r="M89" i="38"/>
  <c r="K89" i="38"/>
  <c r="L89" i="38"/>
  <c r="L92" i="38"/>
  <c r="O92" i="38"/>
  <c r="N28" i="38"/>
  <c r="N30" i="38"/>
  <c r="N32" i="38"/>
  <c r="N34" i="38"/>
  <c r="N36" i="38"/>
  <c r="N38" i="38"/>
  <c r="N40" i="38"/>
  <c r="N42" i="38"/>
  <c r="N44" i="38"/>
  <c r="N46" i="38"/>
  <c r="N48" i="38"/>
  <c r="N50" i="38"/>
  <c r="N52" i="38"/>
  <c r="N54" i="38"/>
  <c r="N56" i="38"/>
  <c r="N58" i="38"/>
  <c r="N60" i="38"/>
  <c r="N62" i="38"/>
  <c r="N64" i="38"/>
  <c r="N66" i="38"/>
  <c r="N68" i="38"/>
  <c r="N70" i="38"/>
  <c r="N72" i="38"/>
  <c r="N74" i="38"/>
  <c r="N76" i="38"/>
  <c r="N78" i="38"/>
  <c r="N80" i="38"/>
  <c r="M83" i="38"/>
  <c r="O83" i="38"/>
  <c r="N89" i="38"/>
  <c r="N92" i="38"/>
  <c r="L87" i="38"/>
  <c r="C89" i="38"/>
  <c r="D89" i="38"/>
  <c r="M87" i="38"/>
  <c r="O87" i="38"/>
  <c r="M92" i="38"/>
  <c r="N99" i="38"/>
  <c r="O114" i="38"/>
  <c r="M117" i="38"/>
  <c r="K117" i="38"/>
  <c r="O122" i="38"/>
  <c r="M125" i="38"/>
  <c r="K125" i="38"/>
  <c r="O130" i="38"/>
  <c r="M133" i="38"/>
  <c r="K133" i="38"/>
  <c r="O138" i="38"/>
  <c r="U138" i="38"/>
  <c r="P138" i="38"/>
  <c r="W141" i="38"/>
  <c r="R141" i="38"/>
  <c r="M141" i="38"/>
  <c r="K141" i="38"/>
  <c r="O146" i="38"/>
  <c r="U146" i="38"/>
  <c r="P146" i="38"/>
  <c r="W149" i="38"/>
  <c r="R149" i="38"/>
  <c r="M149" i="38"/>
  <c r="K149" i="38"/>
  <c r="O154" i="38"/>
  <c r="U154" i="38"/>
  <c r="P154" i="38"/>
  <c r="W157" i="38"/>
  <c r="R157" i="38"/>
  <c r="M157" i="38"/>
  <c r="K157" i="38"/>
  <c r="O162" i="38"/>
  <c r="U162" i="38"/>
  <c r="P162" i="38"/>
  <c r="W165" i="38"/>
  <c r="R165" i="38"/>
  <c r="M165" i="38"/>
  <c r="K165" i="38"/>
  <c r="O170" i="38"/>
  <c r="U170" i="38"/>
  <c r="P170" i="38"/>
  <c r="W173" i="38"/>
  <c r="R173" i="38"/>
  <c r="M173" i="38"/>
  <c r="K173" i="38"/>
  <c r="V180" i="38"/>
  <c r="Q180" i="38"/>
  <c r="L180" i="38"/>
  <c r="O180" i="38"/>
  <c r="U180" i="38"/>
  <c r="P180" i="38"/>
  <c r="V188" i="38"/>
  <c r="Q188" i="38"/>
  <c r="L188" i="38"/>
  <c r="O188" i="38"/>
  <c r="U188" i="38"/>
  <c r="P188" i="38"/>
  <c r="V196" i="38"/>
  <c r="Q196" i="38"/>
  <c r="L196" i="38"/>
  <c r="O196" i="38"/>
  <c r="U196" i="38"/>
  <c r="P196" i="38"/>
  <c r="W204" i="38"/>
  <c r="R204" i="38"/>
  <c r="M204" i="38"/>
  <c r="K204" i="38"/>
  <c r="V204" i="38"/>
  <c r="Q204" i="38"/>
  <c r="L204" i="38"/>
  <c r="O204" i="38"/>
  <c r="U204" i="38"/>
  <c r="P204" i="38"/>
  <c r="W212" i="38"/>
  <c r="R212" i="38"/>
  <c r="M212" i="38"/>
  <c r="K212" i="38"/>
  <c r="V212" i="38"/>
  <c r="Q212" i="38"/>
  <c r="L212" i="38"/>
  <c r="O212" i="38"/>
  <c r="U212" i="38"/>
  <c r="P212" i="38"/>
  <c r="N96" i="38"/>
  <c r="K101" i="38"/>
  <c r="M101" i="38"/>
  <c r="K103" i="38"/>
  <c r="M103" i="38"/>
  <c r="K105" i="38"/>
  <c r="M105" i="38"/>
  <c r="K107" i="38"/>
  <c r="M107" i="38"/>
  <c r="K109" i="38"/>
  <c r="M109" i="38"/>
  <c r="K111" i="38"/>
  <c r="M111" i="38"/>
  <c r="K113" i="38"/>
  <c r="M113" i="38"/>
  <c r="M114" i="38"/>
  <c r="L115" i="38"/>
  <c r="O117" i="38"/>
  <c r="K120" i="38"/>
  <c r="M122" i="38"/>
  <c r="L123" i="38"/>
  <c r="O125" i="38"/>
  <c r="K128" i="38"/>
  <c r="M130" i="38"/>
  <c r="L131" i="38"/>
  <c r="O133" i="38"/>
  <c r="K136" i="38"/>
  <c r="Q136" i="38"/>
  <c r="M138" i="38"/>
  <c r="V138" i="38"/>
  <c r="L139" i="38"/>
  <c r="U139" i="38"/>
  <c r="Q141" i="38"/>
  <c r="O141" i="38"/>
  <c r="K144" i="38"/>
  <c r="Q144" i="38"/>
  <c r="M146" i="38"/>
  <c r="V146" i="38"/>
  <c r="L147" i="38"/>
  <c r="U147" i="38"/>
  <c r="Q149" i="38"/>
  <c r="O149" i="38"/>
  <c r="K152" i="38"/>
  <c r="Q152" i="38"/>
  <c r="M154" i="38"/>
  <c r="V154" i="38"/>
  <c r="L155" i="38"/>
  <c r="U155" i="38"/>
  <c r="Q157" i="38"/>
  <c r="O157" i="38"/>
  <c r="K160" i="38"/>
  <c r="Q160" i="38"/>
  <c r="M162" i="38"/>
  <c r="V162" i="38"/>
  <c r="L163" i="38"/>
  <c r="U163" i="38"/>
  <c r="Q165" i="38"/>
  <c r="O165" i="38"/>
  <c r="K168" i="38"/>
  <c r="Q168" i="38"/>
  <c r="M170" i="38"/>
  <c r="V170" i="38"/>
  <c r="L171" i="38"/>
  <c r="U171" i="38"/>
  <c r="Q173" i="38"/>
  <c r="O173" i="38"/>
  <c r="K176" i="38"/>
  <c r="Q176" i="38"/>
  <c r="N180" i="38"/>
  <c r="K182" i="38"/>
  <c r="N188" i="38"/>
  <c r="K190" i="38"/>
  <c r="N196" i="38"/>
  <c r="M115" i="38"/>
  <c r="K115" i="38"/>
  <c r="O120" i="38"/>
  <c r="M123" i="38"/>
  <c r="K123" i="38"/>
  <c r="O128" i="38"/>
  <c r="M131" i="38"/>
  <c r="K131" i="38"/>
  <c r="O136" i="38"/>
  <c r="U136" i="38"/>
  <c r="P136" i="38"/>
  <c r="W139" i="38"/>
  <c r="R139" i="38"/>
  <c r="M139" i="38"/>
  <c r="K139" i="38"/>
  <c r="O144" i="38"/>
  <c r="U144" i="38"/>
  <c r="P144" i="38"/>
  <c r="W147" i="38"/>
  <c r="R147" i="38"/>
  <c r="M147" i="38"/>
  <c r="K147" i="38"/>
  <c r="O152" i="38"/>
  <c r="U152" i="38"/>
  <c r="P152" i="38"/>
  <c r="W155" i="38"/>
  <c r="R155" i="38"/>
  <c r="M155" i="38"/>
  <c r="K155" i="38"/>
  <c r="O160" i="38"/>
  <c r="U160" i="38"/>
  <c r="P160" i="38"/>
  <c r="W163" i="38"/>
  <c r="R163" i="38"/>
  <c r="M163" i="38"/>
  <c r="K163" i="38"/>
  <c r="O168" i="38"/>
  <c r="U168" i="38"/>
  <c r="P168" i="38"/>
  <c r="W171" i="38"/>
  <c r="R171" i="38"/>
  <c r="M171" i="38"/>
  <c r="K171" i="38"/>
  <c r="O176" i="38"/>
  <c r="U176" i="38"/>
  <c r="P176" i="38"/>
  <c r="V182" i="38"/>
  <c r="Q182" i="38"/>
  <c r="L182" i="38"/>
  <c r="O182" i="38"/>
  <c r="U182" i="38"/>
  <c r="P182" i="38"/>
  <c r="V190" i="38"/>
  <c r="Q190" i="38"/>
  <c r="L190" i="38"/>
  <c r="O190" i="38"/>
  <c r="U190" i="38"/>
  <c r="P190" i="38"/>
  <c r="W198" i="38"/>
  <c r="R198" i="38"/>
  <c r="M198" i="38"/>
  <c r="K198" i="38"/>
  <c r="V198" i="38"/>
  <c r="Q198" i="38"/>
  <c r="L198" i="38"/>
  <c r="O198" i="38"/>
  <c r="U198" i="38"/>
  <c r="P198" i="38"/>
  <c r="W206" i="38"/>
  <c r="R206" i="38"/>
  <c r="M206" i="38"/>
  <c r="K206" i="38"/>
  <c r="V206" i="38"/>
  <c r="Q206" i="38"/>
  <c r="L206" i="38"/>
  <c r="O206" i="38"/>
  <c r="U206" i="38"/>
  <c r="P206" i="38"/>
  <c r="N101" i="38"/>
  <c r="N103" i="38"/>
  <c r="N105" i="38"/>
  <c r="N107" i="38"/>
  <c r="N109" i="38"/>
  <c r="N111" i="38"/>
  <c r="N113" i="38"/>
  <c r="O115" i="38"/>
  <c r="M120" i="38"/>
  <c r="O123" i="38"/>
  <c r="M128" i="38"/>
  <c r="O131" i="38"/>
  <c r="M136" i="38"/>
  <c r="V136" i="38"/>
  <c r="Q139" i="38"/>
  <c r="O139" i="38"/>
  <c r="M144" i="38"/>
  <c r="V144" i="38"/>
  <c r="Q147" i="38"/>
  <c r="O147" i="38"/>
  <c r="M152" i="38"/>
  <c r="V152" i="38"/>
  <c r="Q155" i="38"/>
  <c r="O155" i="38"/>
  <c r="M160" i="38"/>
  <c r="V160" i="38"/>
  <c r="R162" i="38"/>
  <c r="Q163" i="38"/>
  <c r="O163" i="38"/>
  <c r="T165" i="38"/>
  <c r="V165" i="38"/>
  <c r="M168" i="38"/>
  <c r="V168" i="38"/>
  <c r="T170" i="38"/>
  <c r="R170" i="38"/>
  <c r="Q171" i="38"/>
  <c r="O171" i="38"/>
  <c r="T173" i="38"/>
  <c r="V173" i="38"/>
  <c r="M176" i="38"/>
  <c r="V176" i="38"/>
  <c r="M180" i="38"/>
  <c r="W180" i="38"/>
  <c r="N182" i="38"/>
  <c r="M188" i="38"/>
  <c r="W188" i="38"/>
  <c r="N190" i="38"/>
  <c r="M196" i="38"/>
  <c r="W196" i="38"/>
  <c r="S204" i="38"/>
  <c r="S212" i="38"/>
  <c r="O118" i="38"/>
  <c r="M121" i="38"/>
  <c r="K121" i="38"/>
  <c r="O126" i="38"/>
  <c r="M129" i="38"/>
  <c r="K129" i="38"/>
  <c r="O134" i="38"/>
  <c r="P134" i="38"/>
  <c r="W137" i="38"/>
  <c r="R137" i="38"/>
  <c r="M137" i="38"/>
  <c r="K137" i="38"/>
  <c r="O142" i="38"/>
  <c r="U142" i="38"/>
  <c r="P142" i="38"/>
  <c r="W145" i="38"/>
  <c r="R145" i="38"/>
  <c r="M145" i="38"/>
  <c r="K145" i="38"/>
  <c r="O150" i="38"/>
  <c r="U150" i="38"/>
  <c r="P150" i="38"/>
  <c r="W153" i="38"/>
  <c r="R153" i="38"/>
  <c r="M153" i="38"/>
  <c r="K153" i="38"/>
  <c r="O158" i="38"/>
  <c r="U158" i="38"/>
  <c r="P158" i="38"/>
  <c r="W161" i="38"/>
  <c r="R161" i="38"/>
  <c r="M161" i="38"/>
  <c r="K161" i="38"/>
  <c r="O166" i="38"/>
  <c r="U166" i="38"/>
  <c r="P166" i="38"/>
  <c r="W169" i="38"/>
  <c r="R169" i="38"/>
  <c r="M169" i="38"/>
  <c r="K169" i="38"/>
  <c r="O174" i="38"/>
  <c r="U174" i="38"/>
  <c r="P174" i="38"/>
  <c r="V184" i="38"/>
  <c r="Q184" i="38"/>
  <c r="L184" i="38"/>
  <c r="O184" i="38"/>
  <c r="U184" i="38"/>
  <c r="P184" i="38"/>
  <c r="V192" i="38"/>
  <c r="Q192" i="38"/>
  <c r="L192" i="38"/>
  <c r="O192" i="38"/>
  <c r="U192" i="38"/>
  <c r="P192" i="38"/>
  <c r="W200" i="38"/>
  <c r="R200" i="38"/>
  <c r="M200" i="38"/>
  <c r="K200" i="38"/>
  <c r="V200" i="38"/>
  <c r="Q200" i="38"/>
  <c r="L200" i="38"/>
  <c r="O200" i="38"/>
  <c r="U200" i="38"/>
  <c r="P200" i="38"/>
  <c r="W208" i="38"/>
  <c r="R208" i="38"/>
  <c r="M208" i="38"/>
  <c r="K208" i="38"/>
  <c r="V208" i="38"/>
  <c r="Q208" i="38"/>
  <c r="L208" i="38"/>
  <c r="O208" i="38"/>
  <c r="U208" i="38"/>
  <c r="P208" i="38"/>
  <c r="N90" i="38"/>
  <c r="N95" i="38"/>
  <c r="L96" i="38"/>
  <c r="K98" i="38"/>
  <c r="M98" i="38"/>
  <c r="K100" i="38"/>
  <c r="M100" i="38"/>
  <c r="P101" i="38"/>
  <c r="O101" i="38"/>
  <c r="K102" i="38"/>
  <c r="M102" i="38"/>
  <c r="P103" i="38"/>
  <c r="O103" i="38"/>
  <c r="K104" i="38"/>
  <c r="M104" i="38"/>
  <c r="P105" i="38"/>
  <c r="O105" i="38"/>
  <c r="K106" i="38"/>
  <c r="M106" i="38"/>
  <c r="P107" i="38"/>
  <c r="O107" i="38"/>
  <c r="K108" i="38"/>
  <c r="M108" i="38"/>
  <c r="R108" i="38"/>
  <c r="O109" i="38"/>
  <c r="K110" i="38"/>
  <c r="M110" i="38"/>
  <c r="O111" i="38"/>
  <c r="K112" i="38"/>
  <c r="M112" i="38"/>
  <c r="O113" i="38"/>
  <c r="L114" i="38"/>
  <c r="N114" i="38"/>
  <c r="K116" i="38"/>
  <c r="P117" i="38"/>
  <c r="N117" i="38"/>
  <c r="M118" i="38"/>
  <c r="L119" i="38"/>
  <c r="O121" i="38"/>
  <c r="L122" i="38"/>
  <c r="N122" i="38"/>
  <c r="K124" i="38"/>
  <c r="P125" i="38"/>
  <c r="N125" i="38"/>
  <c r="M126" i="38"/>
  <c r="L127" i="38"/>
  <c r="O129" i="38"/>
  <c r="L130" i="38"/>
  <c r="N130" i="38"/>
  <c r="K132" i="38"/>
  <c r="N133" i="38"/>
  <c r="M134" i="38"/>
  <c r="L135" i="38"/>
  <c r="T136" i="38"/>
  <c r="R136" i="38"/>
  <c r="Q137" i="38"/>
  <c r="O137" i="38"/>
  <c r="L138" i="38"/>
  <c r="N138" i="38"/>
  <c r="W138" i="38"/>
  <c r="T139" i="38"/>
  <c r="V139" i="38"/>
  <c r="K140" i="38"/>
  <c r="Q140" i="38"/>
  <c r="P141" i="38"/>
  <c r="N141" i="38"/>
  <c r="M142" i="38"/>
  <c r="V142" i="38"/>
  <c r="L143" i="38"/>
  <c r="U143" i="38"/>
  <c r="T144" i="38"/>
  <c r="R144" i="38"/>
  <c r="Q145" i="38"/>
  <c r="O145" i="38"/>
  <c r="L146" i="38"/>
  <c r="N146" i="38"/>
  <c r="W146" i="38"/>
  <c r="T147" i="38"/>
  <c r="V147" i="38"/>
  <c r="K148" i="38"/>
  <c r="Q148" i="38"/>
  <c r="P149" i="38"/>
  <c r="N149" i="38"/>
  <c r="M150" i="38"/>
  <c r="V150" i="38"/>
  <c r="L151" i="38"/>
  <c r="U151" i="38"/>
  <c r="T152" i="38"/>
  <c r="R152" i="38"/>
  <c r="Q153" i="38"/>
  <c r="O153" i="38"/>
  <c r="L154" i="38"/>
  <c r="N154" i="38"/>
  <c r="W154" i="38"/>
  <c r="T155" i="38"/>
  <c r="V155" i="38"/>
  <c r="K156" i="38"/>
  <c r="Q156" i="38"/>
  <c r="P157" i="38"/>
  <c r="N157" i="38"/>
  <c r="M158" i="38"/>
  <c r="V158" i="38"/>
  <c r="L159" i="38"/>
  <c r="U159" i="38"/>
  <c r="T160" i="38"/>
  <c r="R160" i="38"/>
  <c r="Q161" i="38"/>
  <c r="O161" i="38"/>
  <c r="L162" i="38"/>
  <c r="N162" i="38"/>
  <c r="W162" i="38"/>
  <c r="T163" i="38"/>
  <c r="V163" i="38"/>
  <c r="K164" i="38"/>
  <c r="Q164" i="38"/>
  <c r="P165" i="38"/>
  <c r="N165" i="38"/>
  <c r="M166" i="38"/>
  <c r="V166" i="38"/>
  <c r="L167" i="38"/>
  <c r="U167" i="38"/>
  <c r="T168" i="38"/>
  <c r="R168" i="38"/>
  <c r="Q169" i="38"/>
  <c r="O169" i="38"/>
  <c r="L170" i="38"/>
  <c r="N170" i="38"/>
  <c r="W170" i="38"/>
  <c r="T171" i="38"/>
  <c r="V171" i="38"/>
  <c r="K172" i="38"/>
  <c r="Q172" i="38"/>
  <c r="P173" i="38"/>
  <c r="N173" i="38"/>
  <c r="M174" i="38"/>
  <c r="V174" i="38"/>
  <c r="L175" i="38"/>
  <c r="U175" i="38"/>
  <c r="T176" i="38"/>
  <c r="R176" i="38"/>
  <c r="K178" i="38"/>
  <c r="T180" i="38"/>
  <c r="S180" i="38"/>
  <c r="M182" i="38"/>
  <c r="W182" i="38"/>
  <c r="N184" i="38"/>
  <c r="K186" i="38"/>
  <c r="T188" i="38"/>
  <c r="S188" i="38"/>
  <c r="M190" i="38"/>
  <c r="W190" i="38"/>
  <c r="N192" i="38"/>
  <c r="K194" i="38"/>
  <c r="T196" i="38"/>
  <c r="S196" i="38"/>
  <c r="S198" i="38"/>
  <c r="N204" i="38"/>
  <c r="S206" i="38"/>
  <c r="N212" i="38"/>
  <c r="O116" i="38"/>
  <c r="P116" i="38"/>
  <c r="M119" i="38"/>
  <c r="K119" i="38"/>
  <c r="O124" i="38"/>
  <c r="R127" i="38"/>
  <c r="M127" i="38"/>
  <c r="K127" i="38"/>
  <c r="O132" i="38"/>
  <c r="P132" i="38"/>
  <c r="M135" i="38"/>
  <c r="K135" i="38"/>
  <c r="O140" i="38"/>
  <c r="U140" i="38"/>
  <c r="P140" i="38"/>
  <c r="W143" i="38"/>
  <c r="R143" i="38"/>
  <c r="M143" i="38"/>
  <c r="K143" i="38"/>
  <c r="O148" i="38"/>
  <c r="U148" i="38"/>
  <c r="P148" i="38"/>
  <c r="W151" i="38"/>
  <c r="R151" i="38"/>
  <c r="M151" i="38"/>
  <c r="K151" i="38"/>
  <c r="O156" i="38"/>
  <c r="U156" i="38"/>
  <c r="P156" i="38"/>
  <c r="W159" i="38"/>
  <c r="R159" i="38"/>
  <c r="M159" i="38"/>
  <c r="K159" i="38"/>
  <c r="O164" i="38"/>
  <c r="U164" i="38"/>
  <c r="P164" i="38"/>
  <c r="W167" i="38"/>
  <c r="R167" i="38"/>
  <c r="M167" i="38"/>
  <c r="K167" i="38"/>
  <c r="O172" i="38"/>
  <c r="U172" i="38"/>
  <c r="P172" i="38"/>
  <c r="W175" i="38"/>
  <c r="R175" i="38"/>
  <c r="M175" i="38"/>
  <c r="K175" i="38"/>
  <c r="V178" i="38"/>
  <c r="Q178" i="38"/>
  <c r="L178" i="38"/>
  <c r="O178" i="38"/>
  <c r="U178" i="38"/>
  <c r="P178" i="38"/>
  <c r="V186" i="38"/>
  <c r="Q186" i="38"/>
  <c r="L186" i="38"/>
  <c r="O186" i="38"/>
  <c r="U186" i="38"/>
  <c r="P186" i="38"/>
  <c r="V194" i="38"/>
  <c r="Q194" i="38"/>
  <c r="L194" i="38"/>
  <c r="O194" i="38"/>
  <c r="U194" i="38"/>
  <c r="P194" i="38"/>
  <c r="W202" i="38"/>
  <c r="R202" i="38"/>
  <c r="M202" i="38"/>
  <c r="K202" i="38"/>
  <c r="V202" i="38"/>
  <c r="Q202" i="38"/>
  <c r="L202" i="38"/>
  <c r="O202" i="38"/>
  <c r="U202" i="38"/>
  <c r="P202" i="38"/>
  <c r="W210" i="38"/>
  <c r="R210" i="38"/>
  <c r="M210" i="38"/>
  <c r="K210" i="38"/>
  <c r="V210" i="38"/>
  <c r="Q210" i="38"/>
  <c r="L210" i="38"/>
  <c r="O210" i="38"/>
  <c r="U210" i="38"/>
  <c r="P210" i="38"/>
  <c r="N82" i="38"/>
  <c r="N84" i="38"/>
  <c r="N86" i="38"/>
  <c r="N91" i="38"/>
  <c r="N93" i="38"/>
  <c r="K96" i="38"/>
  <c r="M96" i="38"/>
  <c r="N98" i="38"/>
  <c r="N100" i="38"/>
  <c r="L101" i="38"/>
  <c r="N102" i="38"/>
  <c r="L103" i="38"/>
  <c r="N104" i="38"/>
  <c r="L105" i="38"/>
  <c r="N106" i="38"/>
  <c r="L107" i="38"/>
  <c r="N108" i="38"/>
  <c r="L109" i="38"/>
  <c r="N110" i="38"/>
  <c r="L111" i="38"/>
  <c r="N112" i="38"/>
  <c r="L113" i="38"/>
  <c r="K114" i="38"/>
  <c r="N115" i="38"/>
  <c r="M116" i="38"/>
  <c r="L117" i="38"/>
  <c r="O119" i="38"/>
  <c r="L120" i="38"/>
  <c r="N120" i="38"/>
  <c r="K122" i="38"/>
  <c r="P123" i="38"/>
  <c r="N123" i="38"/>
  <c r="M124" i="38"/>
  <c r="L125" i="38"/>
  <c r="O127" i="38"/>
  <c r="L128" i="38"/>
  <c r="N128" i="38"/>
  <c r="K130" i="38"/>
  <c r="P131" i="38"/>
  <c r="N131" i="38"/>
  <c r="M132" i="38"/>
  <c r="L133" i="38"/>
  <c r="O135" i="38"/>
  <c r="L136" i="38"/>
  <c r="N136" i="38"/>
  <c r="W136" i="38"/>
  <c r="K138" i="38"/>
  <c r="Q138" i="38"/>
  <c r="S138" i="38"/>
  <c r="P139" i="38"/>
  <c r="N139" i="38"/>
  <c r="M140" i="38"/>
  <c r="V140" i="38"/>
  <c r="L141" i="38"/>
  <c r="U141" i="38"/>
  <c r="S141" i="38"/>
  <c r="Q143" i="38"/>
  <c r="O143" i="38"/>
  <c r="L144" i="38"/>
  <c r="N144" i="38"/>
  <c r="W144" i="38"/>
  <c r="K146" i="38"/>
  <c r="Q146" i="38"/>
  <c r="S146" i="38"/>
  <c r="P147" i="38"/>
  <c r="N147" i="38"/>
  <c r="M148" i="38"/>
  <c r="V148" i="38"/>
  <c r="L149" i="38"/>
  <c r="U149" i="38"/>
  <c r="S149" i="38"/>
  <c r="Q151" i="38"/>
  <c r="O151" i="38"/>
  <c r="L152" i="38"/>
  <c r="N152" i="38"/>
  <c r="W152" i="38"/>
  <c r="K154" i="38"/>
  <c r="Q154" i="38"/>
  <c r="S154" i="38"/>
  <c r="P155" i="38"/>
  <c r="N155" i="38"/>
  <c r="M156" i="38"/>
  <c r="V156" i="38"/>
  <c r="L157" i="38"/>
  <c r="U157" i="38"/>
  <c r="S157" i="38"/>
  <c r="Q159" i="38"/>
  <c r="O159" i="38"/>
  <c r="L160" i="38"/>
  <c r="N160" i="38"/>
  <c r="W160" i="38"/>
  <c r="K162" i="38"/>
  <c r="Q162" i="38"/>
  <c r="S162" i="38"/>
  <c r="P163" i="38"/>
  <c r="N163" i="38"/>
  <c r="M164" i="38"/>
  <c r="V164" i="38"/>
  <c r="L165" i="38"/>
  <c r="U165" i="38"/>
  <c r="S165" i="38"/>
  <c r="Q167" i="38"/>
  <c r="O167" i="38"/>
  <c r="L168" i="38"/>
  <c r="N168" i="38"/>
  <c r="W168" i="38"/>
  <c r="K170" i="38"/>
  <c r="Q170" i="38"/>
  <c r="S170" i="38"/>
  <c r="P171" i="38"/>
  <c r="N171" i="38"/>
  <c r="M172" i="38"/>
  <c r="V172" i="38"/>
  <c r="L173" i="38"/>
  <c r="U173" i="38"/>
  <c r="S173" i="38"/>
  <c r="Q175" i="38"/>
  <c r="O175" i="38"/>
  <c r="L176" i="38"/>
  <c r="N176" i="38"/>
  <c r="W176" i="38"/>
  <c r="N178" i="38"/>
  <c r="K180" i="38"/>
  <c r="R180" i="38"/>
  <c r="T182" i="38"/>
  <c r="S182" i="38"/>
  <c r="N186" i="38"/>
  <c r="K188" i="38"/>
  <c r="R188" i="38"/>
  <c r="T190" i="38"/>
  <c r="S190" i="38"/>
  <c r="N194" i="38"/>
  <c r="K196" i="38"/>
  <c r="R196" i="38"/>
  <c r="N198" i="38"/>
  <c r="T204" i="38"/>
  <c r="N206" i="38"/>
  <c r="T212" i="38"/>
  <c r="W246" i="38"/>
  <c r="R246" i="38"/>
  <c r="M246" i="38"/>
  <c r="K246" i="38"/>
  <c r="O246" i="38"/>
  <c r="U246" i="38"/>
  <c r="P246" i="38"/>
  <c r="W250" i="38"/>
  <c r="R250" i="38"/>
  <c r="M250" i="38"/>
  <c r="K250" i="38"/>
  <c r="O250" i="38"/>
  <c r="U250" i="38"/>
  <c r="P250" i="38"/>
  <c r="W254" i="38"/>
  <c r="R254" i="38"/>
  <c r="M254" i="38"/>
  <c r="K254" i="38"/>
  <c r="O254" i="38"/>
  <c r="U254" i="38"/>
  <c r="P254" i="38"/>
  <c r="W258" i="38"/>
  <c r="R258" i="38"/>
  <c r="M258" i="38"/>
  <c r="K258" i="38"/>
  <c r="O258" i="38"/>
  <c r="U258" i="38"/>
  <c r="P258" i="38"/>
  <c r="W262" i="38"/>
  <c r="R262" i="38"/>
  <c r="M262" i="38"/>
  <c r="K262" i="38"/>
  <c r="O262" i="38"/>
  <c r="U262" i="38"/>
  <c r="P262" i="38"/>
  <c r="W266" i="38"/>
  <c r="R266" i="38"/>
  <c r="M266" i="38"/>
  <c r="K266" i="38"/>
  <c r="O266" i="38"/>
  <c r="U266" i="38"/>
  <c r="P266" i="38"/>
  <c r="W270" i="38"/>
  <c r="R270" i="38"/>
  <c r="M270" i="38"/>
  <c r="K270" i="38"/>
  <c r="O270" i="38"/>
  <c r="U270" i="38"/>
  <c r="P270" i="38"/>
  <c r="W274" i="38"/>
  <c r="R274" i="38"/>
  <c r="M274" i="38"/>
  <c r="K274" i="38"/>
  <c r="O274" i="38"/>
  <c r="U274" i="38"/>
  <c r="P274" i="38"/>
  <c r="K177" i="38"/>
  <c r="M177" i="38"/>
  <c r="R177" i="38"/>
  <c r="W177" i="38"/>
  <c r="K179" i="38"/>
  <c r="M179" i="38"/>
  <c r="R179" i="38"/>
  <c r="W179" i="38"/>
  <c r="K181" i="38"/>
  <c r="M181" i="38"/>
  <c r="R181" i="38"/>
  <c r="W181" i="38"/>
  <c r="K183" i="38"/>
  <c r="M183" i="38"/>
  <c r="R183" i="38"/>
  <c r="W183" i="38"/>
  <c r="K185" i="38"/>
  <c r="M185" i="38"/>
  <c r="R185" i="38"/>
  <c r="W185" i="38"/>
  <c r="K187" i="38"/>
  <c r="M187" i="38"/>
  <c r="R187" i="38"/>
  <c r="W187" i="38"/>
  <c r="K189" i="38"/>
  <c r="M189" i="38"/>
  <c r="R189" i="38"/>
  <c r="W189" i="38"/>
  <c r="K191" i="38"/>
  <c r="M191" i="38"/>
  <c r="R191" i="38"/>
  <c r="W191" i="38"/>
  <c r="K193" i="38"/>
  <c r="M193" i="38"/>
  <c r="R193" i="38"/>
  <c r="W193" i="38"/>
  <c r="K195" i="38"/>
  <c r="M195" i="38"/>
  <c r="R195" i="38"/>
  <c r="W195" i="38"/>
  <c r="K197" i="38"/>
  <c r="M197" i="38"/>
  <c r="R197" i="38"/>
  <c r="W197" i="38"/>
  <c r="K199" i="38"/>
  <c r="M199" i="38"/>
  <c r="R199" i="38"/>
  <c r="W199" i="38"/>
  <c r="K201" i="38"/>
  <c r="M201" i="38"/>
  <c r="R201" i="38"/>
  <c r="W201" i="38"/>
  <c r="K203" i="38"/>
  <c r="M203" i="38"/>
  <c r="R203" i="38"/>
  <c r="W203" i="38"/>
  <c r="K205" i="38"/>
  <c r="M205" i="38"/>
  <c r="R205" i="38"/>
  <c r="W205" i="38"/>
  <c r="K207" i="38"/>
  <c r="M207" i="38"/>
  <c r="R207" i="38"/>
  <c r="W207" i="38"/>
  <c r="K209" i="38"/>
  <c r="M209" i="38"/>
  <c r="R209" i="38"/>
  <c r="W209" i="38"/>
  <c r="K211" i="38"/>
  <c r="M211" i="38"/>
  <c r="R211" i="38"/>
  <c r="W211" i="38"/>
  <c r="K213" i="38"/>
  <c r="M213" i="38"/>
  <c r="R213" i="38"/>
  <c r="W213" i="38"/>
  <c r="P214" i="38"/>
  <c r="U214" i="38"/>
  <c r="O214" i="38"/>
  <c r="K215" i="38"/>
  <c r="M215" i="38"/>
  <c r="R215" i="38"/>
  <c r="W215" i="38"/>
  <c r="P216" i="38"/>
  <c r="U216" i="38"/>
  <c r="O216" i="38"/>
  <c r="K217" i="38"/>
  <c r="M217" i="38"/>
  <c r="R217" i="38"/>
  <c r="W217" i="38"/>
  <c r="P218" i="38"/>
  <c r="U218" i="38"/>
  <c r="O218" i="38"/>
  <c r="K219" i="38"/>
  <c r="M219" i="38"/>
  <c r="R219" i="38"/>
  <c r="W219" i="38"/>
  <c r="P220" i="38"/>
  <c r="U220" i="38"/>
  <c r="O220" i="38"/>
  <c r="K221" i="38"/>
  <c r="M221" i="38"/>
  <c r="R221" i="38"/>
  <c r="W221" i="38"/>
  <c r="P222" i="38"/>
  <c r="U222" i="38"/>
  <c r="O222" i="38"/>
  <c r="K223" i="38"/>
  <c r="M223" i="38"/>
  <c r="R223" i="38"/>
  <c r="W223" i="38"/>
  <c r="P224" i="38"/>
  <c r="U224" i="38"/>
  <c r="O224" i="38"/>
  <c r="K225" i="38"/>
  <c r="M225" i="38"/>
  <c r="R225" i="38"/>
  <c r="W225" i="38"/>
  <c r="P226" i="38"/>
  <c r="U226" i="38"/>
  <c r="O226" i="38"/>
  <c r="K227" i="38"/>
  <c r="M227" i="38"/>
  <c r="R227" i="38"/>
  <c r="W227" i="38"/>
  <c r="P228" i="38"/>
  <c r="U228" i="38"/>
  <c r="O228" i="38"/>
  <c r="K229" i="38"/>
  <c r="M229" i="38"/>
  <c r="R229" i="38"/>
  <c r="W229" i="38"/>
  <c r="P230" i="38"/>
  <c r="U230" i="38"/>
  <c r="O230" i="38"/>
  <c r="K231" i="38"/>
  <c r="M231" i="38"/>
  <c r="R231" i="38"/>
  <c r="W231" i="38"/>
  <c r="P232" i="38"/>
  <c r="U232" i="38"/>
  <c r="O232" i="38"/>
  <c r="K233" i="38"/>
  <c r="M233" i="38"/>
  <c r="R233" i="38"/>
  <c r="W233" i="38"/>
  <c r="P234" i="38"/>
  <c r="U234" i="38"/>
  <c r="O234" i="38"/>
  <c r="K235" i="38"/>
  <c r="M235" i="38"/>
  <c r="R235" i="38"/>
  <c r="W235" i="38"/>
  <c r="P236" i="38"/>
  <c r="U236" i="38"/>
  <c r="O236" i="38"/>
  <c r="K237" i="38"/>
  <c r="M237" i="38"/>
  <c r="R237" i="38"/>
  <c r="W237" i="38"/>
  <c r="P238" i="38"/>
  <c r="U238" i="38"/>
  <c r="O238" i="38"/>
  <c r="K239" i="38"/>
  <c r="M239" i="38"/>
  <c r="R239" i="38"/>
  <c r="W239" i="38"/>
  <c r="P240" i="38"/>
  <c r="U240" i="38"/>
  <c r="O240" i="38"/>
  <c r="K241" i="38"/>
  <c r="M241" i="38"/>
  <c r="R241" i="38"/>
  <c r="W241" i="38"/>
  <c r="P242" i="38"/>
  <c r="U242" i="38"/>
  <c r="O242" i="38"/>
  <c r="L243" i="38"/>
  <c r="T244" i="38"/>
  <c r="S244" i="38"/>
  <c r="Q245" i="38"/>
  <c r="N246" i="38"/>
  <c r="L247" i="38"/>
  <c r="T248" i="38"/>
  <c r="S248" i="38"/>
  <c r="Q249" i="38"/>
  <c r="N250" i="38"/>
  <c r="L251" i="38"/>
  <c r="T252" i="38"/>
  <c r="S252" i="38"/>
  <c r="Q253" i="38"/>
  <c r="N254" i="38"/>
  <c r="L255" i="38"/>
  <c r="T256" i="38"/>
  <c r="S256" i="38"/>
  <c r="Q257" i="38"/>
  <c r="N258" i="38"/>
  <c r="L259" i="38"/>
  <c r="T260" i="38"/>
  <c r="S260" i="38"/>
  <c r="Q261" i="38"/>
  <c r="N262" i="38"/>
  <c r="L263" i="38"/>
  <c r="T264" i="38"/>
  <c r="S264" i="38"/>
  <c r="Q265" i="38"/>
  <c r="N266" i="38"/>
  <c r="L267" i="38"/>
  <c r="T268" i="38"/>
  <c r="S268" i="38"/>
  <c r="Q269" i="38"/>
  <c r="N270" i="38"/>
  <c r="L271" i="38"/>
  <c r="T272" i="38"/>
  <c r="S272" i="38"/>
  <c r="Q273" i="38"/>
  <c r="N274" i="38"/>
  <c r="L275" i="38"/>
  <c r="T276" i="38"/>
  <c r="S276" i="38"/>
  <c r="S277" i="38"/>
  <c r="S279" i="38"/>
  <c r="S281" i="38"/>
  <c r="S283" i="38"/>
  <c r="S285" i="38"/>
  <c r="S287" i="38"/>
  <c r="S289" i="38"/>
  <c r="S291" i="38"/>
  <c r="O243" i="38"/>
  <c r="U243" i="38"/>
  <c r="P243" i="38"/>
  <c r="W243" i="38"/>
  <c r="R243" i="38"/>
  <c r="M243" i="38"/>
  <c r="K243" i="38"/>
  <c r="O247" i="38"/>
  <c r="U247" i="38"/>
  <c r="P247" i="38"/>
  <c r="W247" i="38"/>
  <c r="R247" i="38"/>
  <c r="M247" i="38"/>
  <c r="K247" i="38"/>
  <c r="O251" i="38"/>
  <c r="U251" i="38"/>
  <c r="P251" i="38"/>
  <c r="W251" i="38"/>
  <c r="R251" i="38"/>
  <c r="M251" i="38"/>
  <c r="K251" i="38"/>
  <c r="O255" i="38"/>
  <c r="U255" i="38"/>
  <c r="P255" i="38"/>
  <c r="W255" i="38"/>
  <c r="R255" i="38"/>
  <c r="M255" i="38"/>
  <c r="K255" i="38"/>
  <c r="O259" i="38"/>
  <c r="U259" i="38"/>
  <c r="P259" i="38"/>
  <c r="W259" i="38"/>
  <c r="R259" i="38"/>
  <c r="M259" i="38"/>
  <c r="K259" i="38"/>
  <c r="O263" i="38"/>
  <c r="U263" i="38"/>
  <c r="P263" i="38"/>
  <c r="W263" i="38"/>
  <c r="R263" i="38"/>
  <c r="M263" i="38"/>
  <c r="K263" i="38"/>
  <c r="O267" i="38"/>
  <c r="U267" i="38"/>
  <c r="P267" i="38"/>
  <c r="W267" i="38"/>
  <c r="R267" i="38"/>
  <c r="M267" i="38"/>
  <c r="K267" i="38"/>
  <c r="O271" i="38"/>
  <c r="U271" i="38"/>
  <c r="P271" i="38"/>
  <c r="W271" i="38"/>
  <c r="R271" i="38"/>
  <c r="M271" i="38"/>
  <c r="K271" i="38"/>
  <c r="O275" i="38"/>
  <c r="U275" i="38"/>
  <c r="P275" i="38"/>
  <c r="W275" i="38"/>
  <c r="R275" i="38"/>
  <c r="M275" i="38"/>
  <c r="K275" i="38"/>
  <c r="T177" i="38"/>
  <c r="N177" i="38"/>
  <c r="T179" i="38"/>
  <c r="N179" i="38"/>
  <c r="T181" i="38"/>
  <c r="N181" i="38"/>
  <c r="T183" i="38"/>
  <c r="N183" i="38"/>
  <c r="T185" i="38"/>
  <c r="N185" i="38"/>
  <c r="T187" i="38"/>
  <c r="N187" i="38"/>
  <c r="T189" i="38"/>
  <c r="N189" i="38"/>
  <c r="T191" i="38"/>
  <c r="N191" i="38"/>
  <c r="T193" i="38"/>
  <c r="N193" i="38"/>
  <c r="T195" i="38"/>
  <c r="N195" i="38"/>
  <c r="T197" i="38"/>
  <c r="N197" i="38"/>
  <c r="T199" i="38"/>
  <c r="N199" i="38"/>
  <c r="T201" i="38"/>
  <c r="N201" i="38"/>
  <c r="T203" i="38"/>
  <c r="N203" i="38"/>
  <c r="T205" i="38"/>
  <c r="N205" i="38"/>
  <c r="T207" i="38"/>
  <c r="N207" i="38"/>
  <c r="T209" i="38"/>
  <c r="N209" i="38"/>
  <c r="T211" i="38"/>
  <c r="N211" i="38"/>
  <c r="T213" i="38"/>
  <c r="N213" i="38"/>
  <c r="L214" i="38"/>
  <c r="Q214" i="38"/>
  <c r="V214" i="38"/>
  <c r="T215" i="38"/>
  <c r="N215" i="38"/>
  <c r="L216" i="38"/>
  <c r="Q216" i="38"/>
  <c r="V216" i="38"/>
  <c r="T217" i="38"/>
  <c r="N217" i="38"/>
  <c r="L218" i="38"/>
  <c r="Q218" i="38"/>
  <c r="V218" i="38"/>
  <c r="T219" i="38"/>
  <c r="N219" i="38"/>
  <c r="L220" i="38"/>
  <c r="Q220" i="38"/>
  <c r="V220" i="38"/>
  <c r="T221" i="38"/>
  <c r="N221" i="38"/>
  <c r="L222" i="38"/>
  <c r="Q222" i="38"/>
  <c r="V222" i="38"/>
  <c r="T223" i="38"/>
  <c r="N223" i="38"/>
  <c r="L224" i="38"/>
  <c r="Q224" i="38"/>
  <c r="V224" i="38"/>
  <c r="T225" i="38"/>
  <c r="N225" i="38"/>
  <c r="L226" i="38"/>
  <c r="Q226" i="38"/>
  <c r="V226" i="38"/>
  <c r="T227" i="38"/>
  <c r="N227" i="38"/>
  <c r="L228" i="38"/>
  <c r="Q228" i="38"/>
  <c r="V228" i="38"/>
  <c r="T229" i="38"/>
  <c r="N229" i="38"/>
  <c r="L230" i="38"/>
  <c r="Q230" i="38"/>
  <c r="V230" i="38"/>
  <c r="T231" i="38"/>
  <c r="N231" i="38"/>
  <c r="L232" i="38"/>
  <c r="Q232" i="38"/>
  <c r="V232" i="38"/>
  <c r="T233" i="38"/>
  <c r="N233" i="38"/>
  <c r="L234" i="38"/>
  <c r="Q234" i="38"/>
  <c r="V234" i="38"/>
  <c r="T235" i="38"/>
  <c r="N235" i="38"/>
  <c r="L236" i="38"/>
  <c r="Q236" i="38"/>
  <c r="V236" i="38"/>
  <c r="T237" i="38"/>
  <c r="N237" i="38"/>
  <c r="L238" i="38"/>
  <c r="Q238" i="38"/>
  <c r="V238" i="38"/>
  <c r="T239" i="38"/>
  <c r="N239" i="38"/>
  <c r="L240" i="38"/>
  <c r="Q240" i="38"/>
  <c r="V240" i="38"/>
  <c r="T241" i="38"/>
  <c r="N241" i="38"/>
  <c r="L242" i="38"/>
  <c r="Q242" i="38"/>
  <c r="V242" i="38"/>
  <c r="N243" i="38"/>
  <c r="L244" i="38"/>
  <c r="T245" i="38"/>
  <c r="S245" i="38"/>
  <c r="N247" i="38"/>
  <c r="L248" i="38"/>
  <c r="T249" i="38"/>
  <c r="S249" i="38"/>
  <c r="N251" i="38"/>
  <c r="L252" i="38"/>
  <c r="T253" i="38"/>
  <c r="S253" i="38"/>
  <c r="N255" i="38"/>
  <c r="L256" i="38"/>
  <c r="T257" i="38"/>
  <c r="S257" i="38"/>
  <c r="N259" i="38"/>
  <c r="L260" i="38"/>
  <c r="T261" i="38"/>
  <c r="S261" i="38"/>
  <c r="N263" i="38"/>
  <c r="L264" i="38"/>
  <c r="T265" i="38"/>
  <c r="S265" i="38"/>
  <c r="N267" i="38"/>
  <c r="L268" i="38"/>
  <c r="T269" i="38"/>
  <c r="S269" i="38"/>
  <c r="N271" i="38"/>
  <c r="L272" i="38"/>
  <c r="T273" i="38"/>
  <c r="S273" i="38"/>
  <c r="N275" i="38"/>
  <c r="L276" i="38"/>
  <c r="N277" i="38"/>
  <c r="N279" i="38"/>
  <c r="N281" i="38"/>
  <c r="N283" i="38"/>
  <c r="N285" i="38"/>
  <c r="N287" i="38"/>
  <c r="N289" i="38"/>
  <c r="N291" i="38"/>
  <c r="W244" i="38"/>
  <c r="R244" i="38"/>
  <c r="M244" i="38"/>
  <c r="K244" i="38"/>
  <c r="O244" i="38"/>
  <c r="U244" i="38"/>
  <c r="P244" i="38"/>
  <c r="W248" i="38"/>
  <c r="R248" i="38"/>
  <c r="M248" i="38"/>
  <c r="K248" i="38"/>
  <c r="O248" i="38"/>
  <c r="U248" i="38"/>
  <c r="P248" i="38"/>
  <c r="W252" i="38"/>
  <c r="R252" i="38"/>
  <c r="M252" i="38"/>
  <c r="K252" i="38"/>
  <c r="O252" i="38"/>
  <c r="U252" i="38"/>
  <c r="P252" i="38"/>
  <c r="W256" i="38"/>
  <c r="R256" i="38"/>
  <c r="M256" i="38"/>
  <c r="K256" i="38"/>
  <c r="O256" i="38"/>
  <c r="U256" i="38"/>
  <c r="P256" i="38"/>
  <c r="W260" i="38"/>
  <c r="R260" i="38"/>
  <c r="M260" i="38"/>
  <c r="K260" i="38"/>
  <c r="O260" i="38"/>
  <c r="U260" i="38"/>
  <c r="P260" i="38"/>
  <c r="W264" i="38"/>
  <c r="R264" i="38"/>
  <c r="M264" i="38"/>
  <c r="K264" i="38"/>
  <c r="O264" i="38"/>
  <c r="U264" i="38"/>
  <c r="P264" i="38"/>
  <c r="W268" i="38"/>
  <c r="R268" i="38"/>
  <c r="M268" i="38"/>
  <c r="K268" i="38"/>
  <c r="O268" i="38"/>
  <c r="U268" i="38"/>
  <c r="P268" i="38"/>
  <c r="W272" i="38"/>
  <c r="R272" i="38"/>
  <c r="M272" i="38"/>
  <c r="K272" i="38"/>
  <c r="O272" i="38"/>
  <c r="U272" i="38"/>
  <c r="P272" i="38"/>
  <c r="W276" i="38"/>
  <c r="R276" i="38"/>
  <c r="M276" i="38"/>
  <c r="K276" i="38"/>
  <c r="O276" i="38"/>
  <c r="U276" i="38"/>
  <c r="P276" i="38"/>
  <c r="K214" i="38"/>
  <c r="M214" i="38"/>
  <c r="R214" i="38"/>
  <c r="W214" i="38"/>
  <c r="K216" i="38"/>
  <c r="M216" i="38"/>
  <c r="R216" i="38"/>
  <c r="W216" i="38"/>
  <c r="K218" i="38"/>
  <c r="M218" i="38"/>
  <c r="R218" i="38"/>
  <c r="W218" i="38"/>
  <c r="K220" i="38"/>
  <c r="M220" i="38"/>
  <c r="R220" i="38"/>
  <c r="W220" i="38"/>
  <c r="K222" i="38"/>
  <c r="M222" i="38"/>
  <c r="R222" i="38"/>
  <c r="W222" i="38"/>
  <c r="K224" i="38"/>
  <c r="M224" i="38"/>
  <c r="R224" i="38"/>
  <c r="W224" i="38"/>
  <c r="K226" i="38"/>
  <c r="M226" i="38"/>
  <c r="R226" i="38"/>
  <c r="W226" i="38"/>
  <c r="K228" i="38"/>
  <c r="M228" i="38"/>
  <c r="R228" i="38"/>
  <c r="W228" i="38"/>
  <c r="K230" i="38"/>
  <c r="M230" i="38"/>
  <c r="R230" i="38"/>
  <c r="W230" i="38"/>
  <c r="K232" i="38"/>
  <c r="M232" i="38"/>
  <c r="R232" i="38"/>
  <c r="W232" i="38"/>
  <c r="K234" i="38"/>
  <c r="M234" i="38"/>
  <c r="R234" i="38"/>
  <c r="W234" i="38"/>
  <c r="K236" i="38"/>
  <c r="M236" i="38"/>
  <c r="R236" i="38"/>
  <c r="W236" i="38"/>
  <c r="K238" i="38"/>
  <c r="M238" i="38"/>
  <c r="R238" i="38"/>
  <c r="W238" i="38"/>
  <c r="K240" i="38"/>
  <c r="M240" i="38"/>
  <c r="R240" i="38"/>
  <c r="W240" i="38"/>
  <c r="K242" i="38"/>
  <c r="M242" i="38"/>
  <c r="R242" i="38"/>
  <c r="W242" i="38"/>
  <c r="N244" i="38"/>
  <c r="L245" i="38"/>
  <c r="N248" i="38"/>
  <c r="L249" i="38"/>
  <c r="N252" i="38"/>
  <c r="L253" i="38"/>
  <c r="N256" i="38"/>
  <c r="L257" i="38"/>
  <c r="N260" i="38"/>
  <c r="L261" i="38"/>
  <c r="N264" i="38"/>
  <c r="L265" i="38"/>
  <c r="N268" i="38"/>
  <c r="L269" i="38"/>
  <c r="N272" i="38"/>
  <c r="L273" i="38"/>
  <c r="Q275" i="38"/>
  <c r="N276" i="38"/>
  <c r="O245" i="38"/>
  <c r="U245" i="38"/>
  <c r="P245" i="38"/>
  <c r="W245" i="38"/>
  <c r="R245" i="38"/>
  <c r="M245" i="38"/>
  <c r="K245" i="38"/>
  <c r="O249" i="38"/>
  <c r="U249" i="38"/>
  <c r="P249" i="38"/>
  <c r="W249" i="38"/>
  <c r="R249" i="38"/>
  <c r="M249" i="38"/>
  <c r="K249" i="38"/>
  <c r="O253" i="38"/>
  <c r="U253" i="38"/>
  <c r="P253" i="38"/>
  <c r="W253" i="38"/>
  <c r="R253" i="38"/>
  <c r="M253" i="38"/>
  <c r="K253" i="38"/>
  <c r="O257" i="38"/>
  <c r="U257" i="38"/>
  <c r="P257" i="38"/>
  <c r="W257" i="38"/>
  <c r="R257" i="38"/>
  <c r="M257" i="38"/>
  <c r="K257" i="38"/>
  <c r="O261" i="38"/>
  <c r="U261" i="38"/>
  <c r="P261" i="38"/>
  <c r="W261" i="38"/>
  <c r="R261" i="38"/>
  <c r="M261" i="38"/>
  <c r="K261" i="38"/>
  <c r="O265" i="38"/>
  <c r="U265" i="38"/>
  <c r="P265" i="38"/>
  <c r="W265" i="38"/>
  <c r="R265" i="38"/>
  <c r="M265" i="38"/>
  <c r="K265" i="38"/>
  <c r="O269" i="38"/>
  <c r="U269" i="38"/>
  <c r="P269" i="38"/>
  <c r="W269" i="38"/>
  <c r="R269" i="38"/>
  <c r="M269" i="38"/>
  <c r="K269" i="38"/>
  <c r="O273" i="38"/>
  <c r="U273" i="38"/>
  <c r="P273" i="38"/>
  <c r="W273" i="38"/>
  <c r="R273" i="38"/>
  <c r="M273" i="38"/>
  <c r="K273" i="38"/>
  <c r="V277" i="38"/>
  <c r="Q277" i="38"/>
  <c r="L277" i="38"/>
  <c r="O277" i="38"/>
  <c r="U277" i="38"/>
  <c r="P277" i="38"/>
  <c r="W277" i="38"/>
  <c r="R277" i="38"/>
  <c r="M277" i="38"/>
  <c r="K277" i="38"/>
  <c r="V279" i="38"/>
  <c r="Q279" i="38"/>
  <c r="L279" i="38"/>
  <c r="O279" i="38"/>
  <c r="U279" i="38"/>
  <c r="P279" i="38"/>
  <c r="W279" i="38"/>
  <c r="R279" i="38"/>
  <c r="M279" i="38"/>
  <c r="K279" i="38"/>
  <c r="V281" i="38"/>
  <c r="Q281" i="38"/>
  <c r="L281" i="38"/>
  <c r="O281" i="38"/>
  <c r="U281" i="38"/>
  <c r="P281" i="38"/>
  <c r="W281" i="38"/>
  <c r="R281" i="38"/>
  <c r="M281" i="38"/>
  <c r="K281" i="38"/>
  <c r="V283" i="38"/>
  <c r="Q283" i="38"/>
  <c r="L283" i="38"/>
  <c r="O283" i="38"/>
  <c r="U283" i="38"/>
  <c r="P283" i="38"/>
  <c r="W283" i="38"/>
  <c r="R283" i="38"/>
  <c r="M283" i="38"/>
  <c r="K283" i="38"/>
  <c r="V285" i="38"/>
  <c r="Q285" i="38"/>
  <c r="L285" i="38"/>
  <c r="O285" i="38"/>
  <c r="U285" i="38"/>
  <c r="P285" i="38"/>
  <c r="W285" i="38"/>
  <c r="R285" i="38"/>
  <c r="M285" i="38"/>
  <c r="K285" i="38"/>
  <c r="V287" i="38"/>
  <c r="Q287" i="38"/>
  <c r="L287" i="38"/>
  <c r="O287" i="38"/>
  <c r="U287" i="38"/>
  <c r="P287" i="38"/>
  <c r="W287" i="38"/>
  <c r="R287" i="38"/>
  <c r="M287" i="38"/>
  <c r="K287" i="38"/>
  <c r="V289" i="38"/>
  <c r="Q289" i="38"/>
  <c r="L289" i="38"/>
  <c r="O289" i="38"/>
  <c r="U289" i="38"/>
  <c r="P289" i="38"/>
  <c r="W289" i="38"/>
  <c r="R289" i="38"/>
  <c r="M289" i="38"/>
  <c r="K289" i="38"/>
  <c r="V291" i="38"/>
  <c r="Q291" i="38"/>
  <c r="L291" i="38"/>
  <c r="O291" i="38"/>
  <c r="U291" i="38"/>
  <c r="P291" i="38"/>
  <c r="W291" i="38"/>
  <c r="R291" i="38"/>
  <c r="M291" i="38"/>
  <c r="K291" i="38"/>
  <c r="T214" i="38"/>
  <c r="N214" i="38"/>
  <c r="T216" i="38"/>
  <c r="N216" i="38"/>
  <c r="T218" i="38"/>
  <c r="N218" i="38"/>
  <c r="T220" i="38"/>
  <c r="N220" i="38"/>
  <c r="T222" i="38"/>
  <c r="N222" i="38"/>
  <c r="T224" i="38"/>
  <c r="N224" i="38"/>
  <c r="T226" i="38"/>
  <c r="N226" i="38"/>
  <c r="T228" i="38"/>
  <c r="N228" i="38"/>
  <c r="T230" i="38"/>
  <c r="N230" i="38"/>
  <c r="T232" i="38"/>
  <c r="N232" i="38"/>
  <c r="T234" i="38"/>
  <c r="N234" i="38"/>
  <c r="T236" i="38"/>
  <c r="N236" i="38"/>
  <c r="T238" i="38"/>
  <c r="N238" i="38"/>
  <c r="T240" i="38"/>
  <c r="N240" i="38"/>
  <c r="T242" i="38"/>
  <c r="N242" i="38"/>
  <c r="N245" i="38"/>
  <c r="N249" i="38"/>
  <c r="N253" i="38"/>
  <c r="N257" i="38"/>
  <c r="N261" i="38"/>
  <c r="N265" i="38"/>
  <c r="N269" i="38"/>
  <c r="N273" i="38"/>
  <c r="P278" i="38"/>
  <c r="U278" i="38"/>
  <c r="O278" i="38"/>
  <c r="P280" i="38"/>
  <c r="U280" i="38"/>
  <c r="O280" i="38"/>
  <c r="P282" i="38"/>
  <c r="U282" i="38"/>
  <c r="O282" i="38"/>
  <c r="P284" i="38"/>
  <c r="U284" i="38"/>
  <c r="O284" i="38"/>
  <c r="P286" i="38"/>
  <c r="U286" i="38"/>
  <c r="O286" i="38"/>
  <c r="P288" i="38"/>
  <c r="U288" i="38"/>
  <c r="O288" i="38"/>
  <c r="P290" i="38"/>
  <c r="U290" i="38"/>
  <c r="O290" i="38"/>
  <c r="P292" i="38"/>
  <c r="U292" i="38"/>
  <c r="O292" i="38"/>
  <c r="K293" i="38"/>
  <c r="M293" i="38"/>
  <c r="R293" i="38"/>
  <c r="W293" i="38"/>
  <c r="P294" i="38"/>
  <c r="U294" i="38"/>
  <c r="O294" i="38"/>
  <c r="K295" i="38"/>
  <c r="M295" i="38"/>
  <c r="R295" i="38"/>
  <c r="W295" i="38"/>
  <c r="P296" i="38"/>
  <c r="U296" i="38"/>
  <c r="O296" i="38"/>
  <c r="K297" i="38"/>
  <c r="M297" i="38"/>
  <c r="R297" i="38"/>
  <c r="W297" i="38"/>
  <c r="P298" i="38"/>
  <c r="U298" i="38"/>
  <c r="O298" i="38"/>
  <c r="K299" i="38"/>
  <c r="M299" i="38"/>
  <c r="R299" i="38"/>
  <c r="W299" i="38"/>
  <c r="P300" i="38"/>
  <c r="U300" i="38"/>
  <c r="O300" i="38"/>
  <c r="K301" i="38"/>
  <c r="M301" i="38"/>
  <c r="R301" i="38"/>
  <c r="W301" i="38"/>
  <c r="P302" i="38"/>
  <c r="U302" i="38"/>
  <c r="O302" i="38"/>
  <c r="K303" i="38"/>
  <c r="M303" i="38"/>
  <c r="R303" i="38"/>
  <c r="W303" i="38"/>
  <c r="P304" i="38"/>
  <c r="U304" i="38"/>
  <c r="O304" i="38"/>
  <c r="K305" i="38"/>
  <c r="M305" i="38"/>
  <c r="R305" i="38"/>
  <c r="W305" i="38"/>
  <c r="P306" i="38"/>
  <c r="U306" i="38"/>
  <c r="O306" i="38"/>
  <c r="K307" i="38"/>
  <c r="M307" i="38"/>
  <c r="R307" i="38"/>
  <c r="W307" i="38"/>
  <c r="P308" i="38"/>
  <c r="U308" i="38"/>
  <c r="O308" i="38"/>
  <c r="K309" i="38"/>
  <c r="M309" i="38"/>
  <c r="R309" i="38"/>
  <c r="W309" i="38"/>
  <c r="P310" i="38"/>
  <c r="U310" i="38"/>
  <c r="O310" i="38"/>
  <c r="K311" i="38"/>
  <c r="M311" i="38"/>
  <c r="R311" i="38"/>
  <c r="W311" i="38"/>
  <c r="P312" i="38"/>
  <c r="U312" i="38"/>
  <c r="O312" i="38"/>
  <c r="K313" i="38"/>
  <c r="M313" i="38"/>
  <c r="R313" i="38"/>
  <c r="W313" i="38"/>
  <c r="P314" i="38"/>
  <c r="U314" i="38"/>
  <c r="O314" i="38"/>
  <c r="K315" i="38"/>
  <c r="M315" i="38"/>
  <c r="R315" i="38"/>
  <c r="W315" i="38"/>
  <c r="T293" i="38"/>
  <c r="N293" i="38"/>
  <c r="S293" i="38"/>
  <c r="T295" i="38"/>
  <c r="N295" i="38"/>
  <c r="S295" i="38"/>
  <c r="T297" i="38"/>
  <c r="N297" i="38"/>
  <c r="S297" i="38"/>
  <c r="T299" i="38"/>
  <c r="N299" i="38"/>
  <c r="S299" i="38"/>
  <c r="T301" i="38"/>
  <c r="N301" i="38"/>
  <c r="S301" i="38"/>
  <c r="T303" i="38"/>
  <c r="N303" i="38"/>
  <c r="S303" i="38"/>
  <c r="T305" i="38"/>
  <c r="N305" i="38"/>
  <c r="S305" i="38"/>
  <c r="T307" i="38"/>
  <c r="N307" i="38"/>
  <c r="S307" i="38"/>
  <c r="T309" i="38"/>
  <c r="N309" i="38"/>
  <c r="S309" i="38"/>
  <c r="T311" i="38"/>
  <c r="N311" i="38"/>
  <c r="S311" i="38"/>
  <c r="T313" i="38"/>
  <c r="N313" i="38"/>
  <c r="S313" i="38"/>
  <c r="T315" i="38"/>
  <c r="N315" i="38"/>
  <c r="S315" i="38"/>
  <c r="K278" i="38"/>
  <c r="M278" i="38"/>
  <c r="R278" i="38"/>
  <c r="W278" i="38"/>
  <c r="K280" i="38"/>
  <c r="M280" i="38"/>
  <c r="R280" i="38"/>
  <c r="W280" i="38"/>
  <c r="K282" i="38"/>
  <c r="M282" i="38"/>
  <c r="R282" i="38"/>
  <c r="W282" i="38"/>
  <c r="K284" i="38"/>
  <c r="M284" i="38"/>
  <c r="R284" i="38"/>
  <c r="W284" i="38"/>
  <c r="K286" i="38"/>
  <c r="M286" i="38"/>
  <c r="R286" i="38"/>
  <c r="W286" i="38"/>
  <c r="K288" i="38"/>
  <c r="M288" i="38"/>
  <c r="R288" i="38"/>
  <c r="W288" i="38"/>
  <c r="K290" i="38"/>
  <c r="M290" i="38"/>
  <c r="R290" i="38"/>
  <c r="W290" i="38"/>
  <c r="K292" i="38"/>
  <c r="M292" i="38"/>
  <c r="R292" i="38"/>
  <c r="W292" i="38"/>
  <c r="P293" i="38"/>
  <c r="U293" i="38"/>
  <c r="O293" i="38"/>
  <c r="K294" i="38"/>
  <c r="M294" i="38"/>
  <c r="R294" i="38"/>
  <c r="W294" i="38"/>
  <c r="P295" i="38"/>
  <c r="U295" i="38"/>
  <c r="O295" i="38"/>
  <c r="K296" i="38"/>
  <c r="M296" i="38"/>
  <c r="R296" i="38"/>
  <c r="W296" i="38"/>
  <c r="P297" i="38"/>
  <c r="U297" i="38"/>
  <c r="O297" i="38"/>
  <c r="K298" i="38"/>
  <c r="M298" i="38"/>
  <c r="R298" i="38"/>
  <c r="W298" i="38"/>
  <c r="P299" i="38"/>
  <c r="U299" i="38"/>
  <c r="O299" i="38"/>
  <c r="K300" i="38"/>
  <c r="M300" i="38"/>
  <c r="R300" i="38"/>
  <c r="W300" i="38"/>
  <c r="P301" i="38"/>
  <c r="U301" i="38"/>
  <c r="O301" i="38"/>
  <c r="K302" i="38"/>
  <c r="M302" i="38"/>
  <c r="R302" i="38"/>
  <c r="W302" i="38"/>
  <c r="P303" i="38"/>
  <c r="U303" i="38"/>
  <c r="O303" i="38"/>
  <c r="K304" i="38"/>
  <c r="M304" i="38"/>
  <c r="R304" i="38"/>
  <c r="W304" i="38"/>
  <c r="P305" i="38"/>
  <c r="U305" i="38"/>
  <c r="O305" i="38"/>
  <c r="K306" i="38"/>
  <c r="M306" i="38"/>
  <c r="R306" i="38"/>
  <c r="W306" i="38"/>
  <c r="P307" i="38"/>
  <c r="U307" i="38"/>
  <c r="O307" i="38"/>
  <c r="K308" i="38"/>
  <c r="M308" i="38"/>
  <c r="R308" i="38"/>
  <c r="W308" i="38"/>
  <c r="P309" i="38"/>
  <c r="U309" i="38"/>
  <c r="O309" i="38"/>
  <c r="K310" i="38"/>
  <c r="M310" i="38"/>
  <c r="R310" i="38"/>
  <c r="W310" i="38"/>
  <c r="P311" i="38"/>
  <c r="U311" i="38"/>
  <c r="O311" i="38"/>
  <c r="K312" i="38"/>
  <c r="M312" i="38"/>
  <c r="R312" i="38"/>
  <c r="W312" i="38"/>
  <c r="P313" i="38"/>
  <c r="U313" i="38"/>
  <c r="O313" i="38"/>
  <c r="K314" i="38"/>
  <c r="M314" i="38"/>
  <c r="R314" i="38"/>
  <c r="W314" i="38"/>
  <c r="P315" i="38"/>
  <c r="U315" i="38"/>
  <c r="O315" i="38"/>
  <c r="T278" i="38"/>
  <c r="N278" i="38"/>
  <c r="T280" i="38"/>
  <c r="N280" i="38"/>
  <c r="T282" i="38"/>
  <c r="N282" i="38"/>
  <c r="T284" i="38"/>
  <c r="N284" i="38"/>
  <c r="T286" i="38"/>
  <c r="N286" i="38"/>
  <c r="T288" i="38"/>
  <c r="N288" i="38"/>
  <c r="T290" i="38"/>
  <c r="N290" i="38"/>
  <c r="T292" i="38"/>
  <c r="N292" i="38"/>
  <c r="L293" i="38"/>
  <c r="Q293" i="38"/>
  <c r="T294" i="38"/>
  <c r="N294" i="38"/>
  <c r="L295" i="38"/>
  <c r="Q295" i="38"/>
  <c r="T296" i="38"/>
  <c r="N296" i="38"/>
  <c r="L297" i="38"/>
  <c r="Q297" i="38"/>
  <c r="T298" i="38"/>
  <c r="N298" i="38"/>
  <c r="L299" i="38"/>
  <c r="Q299" i="38"/>
  <c r="T300" i="38"/>
  <c r="N300" i="38"/>
  <c r="L301" i="38"/>
  <c r="Q301" i="38"/>
  <c r="T302" i="38"/>
  <c r="N302" i="38"/>
  <c r="L303" i="38"/>
  <c r="Q303" i="38"/>
  <c r="T304" i="38"/>
  <c r="N304" i="38"/>
  <c r="L305" i="38"/>
  <c r="Q305" i="38"/>
  <c r="T306" i="38"/>
  <c r="N306" i="38"/>
  <c r="L307" i="38"/>
  <c r="Q307" i="38"/>
  <c r="T308" i="38"/>
  <c r="N308" i="38"/>
  <c r="L309" i="38"/>
  <c r="Q309" i="38"/>
  <c r="T310" i="38"/>
  <c r="N310" i="38"/>
  <c r="L311" i="38"/>
  <c r="Q311" i="38"/>
  <c r="T312" i="38"/>
  <c r="N312" i="38"/>
  <c r="L313" i="38"/>
  <c r="Q313" i="38"/>
  <c r="T314" i="38"/>
  <c r="N314" i="38"/>
  <c r="L315" i="38"/>
  <c r="Q315" i="38"/>
  <c r="R17" i="38" l="1"/>
  <c r="T95" i="38"/>
  <c r="Q127" i="38"/>
  <c r="P115" i="38"/>
  <c r="P95" i="38"/>
  <c r="P113" i="38"/>
  <c r="P111" i="38"/>
  <c r="T111" i="38"/>
  <c r="T90" i="38"/>
  <c r="T134" i="38"/>
  <c r="P119" i="38"/>
  <c r="R98" i="38"/>
  <c r="W120" i="38"/>
  <c r="V126" i="38"/>
  <c r="W128" i="38"/>
  <c r="T108" i="38"/>
  <c r="T98" i="38"/>
  <c r="T82" i="38"/>
  <c r="Q114" i="38"/>
  <c r="T99" i="38"/>
  <c r="T104" i="38"/>
  <c r="U94" i="38"/>
  <c r="T100" i="38"/>
  <c r="R100" i="38"/>
  <c r="T107" i="38"/>
  <c r="T67" i="38"/>
  <c r="T96" i="38"/>
  <c r="R96" i="38"/>
  <c r="R112" i="38"/>
  <c r="U116" i="38"/>
  <c r="U135" i="38"/>
  <c r="R120" i="38"/>
  <c r="R104" i="38"/>
  <c r="V96" i="38"/>
  <c r="U80" i="38"/>
  <c r="Q112" i="38"/>
  <c r="R106" i="38"/>
  <c r="W102" i="38"/>
  <c r="U100" i="38"/>
  <c r="U87" i="38"/>
  <c r="U127" i="38"/>
  <c r="U119" i="38"/>
  <c r="U111" i="38"/>
  <c r="U107" i="38"/>
  <c r="U103" i="38"/>
  <c r="Q131" i="38"/>
  <c r="Q123" i="38"/>
  <c r="Q115" i="38"/>
  <c r="U89" i="38"/>
  <c r="U76" i="38"/>
  <c r="V99" i="38"/>
  <c r="U86" i="38"/>
  <c r="U96" i="38"/>
  <c r="Q36" i="38"/>
  <c r="U93" i="38"/>
  <c r="Q130" i="38"/>
  <c r="U124" i="38"/>
  <c r="W119" i="38"/>
  <c r="V134" i="38"/>
  <c r="Q124" i="38"/>
  <c r="S108" i="38"/>
  <c r="V128" i="38"/>
  <c r="V120" i="38"/>
  <c r="U120" i="38"/>
  <c r="W103" i="38"/>
  <c r="U70" i="38"/>
  <c r="Q48" i="38"/>
  <c r="U129" i="38"/>
  <c r="R130" i="38"/>
  <c r="U133" i="38"/>
  <c r="U125" i="38"/>
  <c r="U132" i="38"/>
  <c r="V124" i="38"/>
  <c r="V113" i="38"/>
  <c r="U95" i="38"/>
  <c r="U90" i="38"/>
  <c r="W135" i="38"/>
  <c r="Q121" i="38"/>
  <c r="V118" i="38"/>
  <c r="U113" i="38"/>
  <c r="W110" i="38"/>
  <c r="U109" i="38"/>
  <c r="W106" i="38"/>
  <c r="U105" i="38"/>
  <c r="U101" i="38"/>
  <c r="W111" i="38"/>
  <c r="U134" i="38"/>
  <c r="R129" i="38"/>
  <c r="U118" i="38"/>
  <c r="R133" i="38"/>
  <c r="U32" i="38"/>
  <c r="U99" i="38"/>
  <c r="U112" i="38"/>
  <c r="P126" i="38"/>
  <c r="P118" i="38"/>
  <c r="T109" i="38"/>
  <c r="P128" i="38"/>
  <c r="P130" i="38"/>
  <c r="P92" i="38"/>
  <c r="T118" i="38"/>
  <c r="P86" i="38"/>
  <c r="W86" i="38"/>
  <c r="T129" i="38"/>
  <c r="S133" i="38"/>
  <c r="S117" i="38"/>
  <c r="T106" i="38"/>
  <c r="T91" i="38"/>
  <c r="T86" i="38"/>
  <c r="T131" i="38"/>
  <c r="T128" i="38"/>
  <c r="T123" i="38"/>
  <c r="T103" i="38"/>
  <c r="T121" i="38"/>
  <c r="T88" i="38"/>
  <c r="S122" i="38"/>
  <c r="T110" i="38"/>
  <c r="T102" i="38"/>
  <c r="T93" i="38"/>
  <c r="P90" i="38"/>
  <c r="P124" i="38"/>
  <c r="P133" i="38"/>
  <c r="T120" i="38"/>
  <c r="T115" i="38"/>
  <c r="T101" i="38"/>
  <c r="P114" i="38"/>
  <c r="P129" i="38"/>
  <c r="P98" i="38"/>
  <c r="S107" i="38"/>
  <c r="S103" i="38"/>
  <c r="V89" i="38"/>
  <c r="V91" i="38"/>
  <c r="R135" i="38"/>
  <c r="W127" i="38"/>
  <c r="V131" i="38"/>
  <c r="V123" i="38"/>
  <c r="V115" i="38"/>
  <c r="W112" i="38"/>
  <c r="R110" i="38"/>
  <c r="W104" i="38"/>
  <c r="R102" i="38"/>
  <c r="W121" i="38"/>
  <c r="R115" i="38"/>
  <c r="W105" i="38"/>
  <c r="V88" i="38"/>
  <c r="W87" i="38"/>
  <c r="S113" i="38"/>
  <c r="W95" i="38"/>
  <c r="V133" i="38"/>
  <c r="V102" i="38"/>
  <c r="V132" i="38"/>
  <c r="S130" i="38"/>
  <c r="S125" i="38"/>
  <c r="V116" i="38"/>
  <c r="S114" i="38"/>
  <c r="R119" i="38"/>
  <c r="W130" i="38"/>
  <c r="R128" i="38"/>
  <c r="W122" i="38"/>
  <c r="W114" i="38"/>
  <c r="W108" i="38"/>
  <c r="W100" i="38"/>
  <c r="W98" i="38"/>
  <c r="W124" i="38"/>
  <c r="S95" i="38"/>
  <c r="W125" i="38"/>
  <c r="W99" i="38"/>
  <c r="S131" i="38"/>
  <c r="S104" i="38"/>
  <c r="Q134" i="38"/>
  <c r="Q100" i="38"/>
  <c r="Q119" i="38"/>
  <c r="Q113" i="38"/>
  <c r="Q111" i="38"/>
  <c r="Q109" i="38"/>
  <c r="Q107" i="38"/>
  <c r="Q105" i="38"/>
  <c r="Q103" i="38"/>
  <c r="Q101" i="38"/>
  <c r="Q132" i="38"/>
  <c r="Q129" i="38"/>
  <c r="Q96" i="38"/>
  <c r="Q133" i="38"/>
  <c r="V109" i="38"/>
  <c r="V129" i="38"/>
  <c r="V103" i="38"/>
  <c r="V104" i="38"/>
  <c r="V95" i="38"/>
  <c r="V110" i="38"/>
  <c r="V119" i="38"/>
  <c r="V127" i="38"/>
  <c r="V135" i="38"/>
  <c r="V92" i="38"/>
  <c r="V114" i="38"/>
  <c r="V122" i="38"/>
  <c r="V130" i="38"/>
  <c r="V111" i="38"/>
  <c r="V112" i="38"/>
  <c r="V90" i="38"/>
  <c r="V98" i="38"/>
  <c r="V94" i="38"/>
  <c r="V87" i="38"/>
  <c r="W97" i="38"/>
  <c r="V97" i="38"/>
  <c r="S88" i="38"/>
  <c r="Q126" i="38"/>
  <c r="S86" i="38"/>
  <c r="T127" i="38"/>
  <c r="T119" i="38"/>
  <c r="T97" i="38"/>
  <c r="T92" i="38"/>
  <c r="T116" i="38"/>
  <c r="T124" i="38"/>
  <c r="T132" i="38"/>
  <c r="T87" i="38"/>
  <c r="T89" i="38"/>
  <c r="T76" i="38"/>
  <c r="T105" i="38"/>
  <c r="T113" i="38"/>
  <c r="V86" i="38"/>
  <c r="R92" i="38"/>
  <c r="R86" i="38"/>
  <c r="R126" i="38"/>
  <c r="R97" i="38"/>
  <c r="R83" i="38"/>
  <c r="R123" i="38"/>
  <c r="R122" i="38"/>
  <c r="R95" i="38"/>
  <c r="R88" i="38"/>
  <c r="R90" i="38"/>
  <c r="R116" i="38"/>
  <c r="R124" i="38"/>
  <c r="R132" i="38"/>
  <c r="R118" i="38"/>
  <c r="R134" i="38"/>
  <c r="R99" i="38"/>
  <c r="R89" i="38"/>
  <c r="R125" i="38"/>
  <c r="R101" i="38"/>
  <c r="R103" i="38"/>
  <c r="R105" i="38"/>
  <c r="R107" i="38"/>
  <c r="R109" i="38"/>
  <c r="R111" i="38"/>
  <c r="R113" i="38"/>
  <c r="R121" i="38"/>
  <c r="P91" i="38"/>
  <c r="R93" i="38"/>
  <c r="T135" i="38"/>
  <c r="T122" i="38"/>
  <c r="S123" i="38"/>
  <c r="S91" i="38"/>
  <c r="R114" i="38"/>
  <c r="V117" i="38"/>
  <c r="S124" i="38"/>
  <c r="R131" i="38"/>
  <c r="Q125" i="38"/>
  <c r="W107" i="38"/>
  <c r="S96" i="38"/>
  <c r="U122" i="38"/>
  <c r="R117" i="38"/>
  <c r="W92" i="38"/>
  <c r="P42" i="38"/>
  <c r="Q92" i="38"/>
  <c r="S92" i="38"/>
  <c r="R87" i="38"/>
  <c r="U97" i="38"/>
  <c r="R94" i="38"/>
  <c r="U88" i="38"/>
  <c r="P121" i="38"/>
  <c r="V93" i="38"/>
  <c r="W90" i="38"/>
  <c r="T126" i="38"/>
  <c r="U108" i="38"/>
  <c r="Q118" i="38"/>
  <c r="S87" i="38"/>
  <c r="Q86" i="38"/>
  <c r="W132" i="38"/>
  <c r="P127" i="38"/>
  <c r="V125" i="38"/>
  <c r="W116" i="38"/>
  <c r="V106" i="38"/>
  <c r="S115" i="38"/>
  <c r="V121" i="38"/>
  <c r="S106" i="38"/>
  <c r="V101" i="38"/>
  <c r="Q135" i="38"/>
  <c r="Q122" i="38"/>
  <c r="Q116" i="38"/>
  <c r="W133" i="38"/>
  <c r="W115" i="38"/>
  <c r="W94" i="38"/>
  <c r="W117" i="38"/>
  <c r="W131" i="38"/>
  <c r="S83" i="38"/>
  <c r="S116" i="38"/>
  <c r="S112" i="38"/>
  <c r="S93" i="38"/>
  <c r="S110" i="38"/>
  <c r="S97" i="38"/>
  <c r="S119" i="38"/>
  <c r="S135" i="38"/>
  <c r="S99" i="38"/>
  <c r="S129" i="38"/>
  <c r="S118" i="38"/>
  <c r="S126" i="38"/>
  <c r="S134" i="38"/>
  <c r="S100" i="38"/>
  <c r="S132" i="38"/>
  <c r="S128" i="38"/>
  <c r="S102" i="38"/>
  <c r="S127" i="38"/>
  <c r="S94" i="38"/>
  <c r="S121" i="38"/>
  <c r="S101" i="38"/>
  <c r="S109" i="38"/>
  <c r="S90" i="38"/>
  <c r="W129" i="38"/>
  <c r="S111" i="38"/>
  <c r="S105" i="38"/>
  <c r="W123" i="38"/>
  <c r="Q117" i="38"/>
  <c r="W109" i="38"/>
  <c r="W101" i="38"/>
  <c r="Q87" i="38"/>
  <c r="W89" i="38"/>
  <c r="P93" i="38"/>
  <c r="P100" i="38"/>
  <c r="P104" i="38"/>
  <c r="P108" i="38"/>
  <c r="P112" i="38"/>
  <c r="P99" i="38"/>
  <c r="P87" i="38"/>
  <c r="P122" i="38"/>
  <c r="P135" i="38"/>
  <c r="P96" i="38"/>
  <c r="P94" i="38"/>
  <c r="P102" i="38"/>
  <c r="P106" i="38"/>
  <c r="P110" i="38"/>
  <c r="P88" i="38"/>
  <c r="P97" i="38"/>
  <c r="P89" i="38"/>
  <c r="P120" i="38"/>
  <c r="S89" i="38"/>
  <c r="P38" i="38"/>
  <c r="Q78" i="38"/>
  <c r="Q56" i="38"/>
  <c r="Q94" i="38"/>
  <c r="U92" i="38"/>
  <c r="U36" i="38"/>
  <c r="U72" i="38"/>
  <c r="U114" i="38"/>
  <c r="U128" i="38"/>
  <c r="U68" i="38"/>
  <c r="U78" i="38"/>
  <c r="U130" i="38"/>
  <c r="U115" i="38"/>
  <c r="U123" i="38"/>
  <c r="U131" i="38"/>
  <c r="U126" i="38"/>
  <c r="Q98" i="38"/>
  <c r="U121" i="38"/>
  <c r="U104" i="38"/>
  <c r="Q110" i="38"/>
  <c r="Q79" i="38"/>
  <c r="Q88" i="38"/>
  <c r="Q95" i="38"/>
  <c r="Q74" i="38"/>
  <c r="Q99" i="38"/>
  <c r="Q102" i="38"/>
  <c r="Q108" i="38"/>
  <c r="Q91" i="38"/>
  <c r="Q104" i="38"/>
  <c r="Q90" i="38"/>
  <c r="Q97" i="38"/>
  <c r="Q52" i="38"/>
  <c r="Q66" i="38"/>
  <c r="Q89" i="38"/>
  <c r="Q120" i="38"/>
  <c r="Q128" i="38"/>
  <c r="R91" i="38"/>
  <c r="Q106" i="38"/>
  <c r="Q93" i="38"/>
  <c r="W91" i="38"/>
  <c r="U91" i="38"/>
  <c r="V100" i="38"/>
  <c r="T130" i="38"/>
  <c r="V108" i="38"/>
  <c r="V107" i="38"/>
  <c r="V105" i="38"/>
  <c r="S98" i="38"/>
  <c r="S120" i="38"/>
  <c r="T94" i="38"/>
  <c r="U106" i="38"/>
  <c r="W126" i="38"/>
  <c r="T72" i="38"/>
  <c r="W88" i="38"/>
  <c r="R71" i="38"/>
  <c r="T114" i="38"/>
  <c r="T133" i="38"/>
  <c r="W96" i="38"/>
  <c r="W113" i="38"/>
  <c r="T125" i="38"/>
  <c r="U71" i="38"/>
  <c r="U98" i="38"/>
  <c r="U110" i="38"/>
  <c r="U102" i="38"/>
  <c r="W134" i="38"/>
  <c r="W118" i="38"/>
  <c r="W93" i="38"/>
  <c r="T117" i="38"/>
  <c r="U81" i="38"/>
  <c r="U74" i="38"/>
  <c r="U66" i="38"/>
  <c r="U83" i="38"/>
  <c r="Q70" i="38"/>
  <c r="Q32" i="38"/>
  <c r="U38" i="38"/>
  <c r="Q81" i="38"/>
  <c r="Q69" i="38"/>
  <c r="Q71" i="38"/>
  <c r="U77" i="38"/>
  <c r="P79" i="38"/>
  <c r="T80" i="38"/>
  <c r="T56" i="38"/>
  <c r="P69" i="38"/>
  <c r="T75" i="38"/>
  <c r="T81" i="38"/>
  <c r="P64" i="38"/>
  <c r="T68" i="38"/>
  <c r="T48" i="38"/>
  <c r="T42" i="38"/>
  <c r="T36" i="38"/>
  <c r="P48" i="38"/>
  <c r="W82" i="38"/>
  <c r="P82" i="38"/>
  <c r="P71" i="38"/>
  <c r="V68" i="38"/>
  <c r="S80" i="38"/>
  <c r="S76" i="38"/>
  <c r="S72" i="38"/>
  <c r="S68" i="38"/>
  <c r="W62" i="38"/>
  <c r="W66" i="38"/>
  <c r="W68" i="38"/>
  <c r="W70" i="38"/>
  <c r="W72" i="38"/>
  <c r="W74" i="38"/>
  <c r="W76" i="38"/>
  <c r="W78" i="38"/>
  <c r="W80" i="38"/>
  <c r="W81" i="38"/>
  <c r="S69" i="38"/>
  <c r="S79" i="38"/>
  <c r="S81" i="38"/>
  <c r="S85" i="38"/>
  <c r="S84" i="38"/>
  <c r="S70" i="38"/>
  <c r="S78" i="38"/>
  <c r="S73" i="38"/>
  <c r="S77" i="38"/>
  <c r="S71" i="38"/>
  <c r="S66" i="38"/>
  <c r="S74" i="38"/>
  <c r="S75" i="38"/>
  <c r="S82" i="38"/>
  <c r="T47" i="38"/>
  <c r="T45" i="38"/>
  <c r="T53" i="38"/>
  <c r="T73" i="38"/>
  <c r="T66" i="38"/>
  <c r="T74" i="38"/>
  <c r="T49" i="38"/>
  <c r="T69" i="38"/>
  <c r="T77" i="38"/>
  <c r="T52" i="38"/>
  <c r="T64" i="38"/>
  <c r="T70" i="38"/>
  <c r="T78" i="38"/>
  <c r="T83" i="38"/>
  <c r="T84" i="38"/>
  <c r="T85" i="38"/>
  <c r="T61" i="38"/>
  <c r="T71" i="38"/>
  <c r="T79" i="38"/>
  <c r="R84" i="38"/>
  <c r="R77" i="38"/>
  <c r="V76" i="38"/>
  <c r="W85" i="38"/>
  <c r="R79" i="38"/>
  <c r="V54" i="38"/>
  <c r="V84" i="38"/>
  <c r="V67" i="38"/>
  <c r="V71" i="38"/>
  <c r="V75" i="38"/>
  <c r="V79" i="38"/>
  <c r="V81" i="38"/>
  <c r="V66" i="38"/>
  <c r="V74" i="38"/>
  <c r="V69" i="38"/>
  <c r="V73" i="38"/>
  <c r="V77" i="38"/>
  <c r="V70" i="38"/>
  <c r="V78" i="38"/>
  <c r="V82" i="38"/>
  <c r="V85" i="38"/>
  <c r="V72" i="38"/>
  <c r="V80" i="38"/>
  <c r="V83" i="38"/>
  <c r="R82" i="38"/>
  <c r="R66" i="38"/>
  <c r="R68" i="38"/>
  <c r="R70" i="38"/>
  <c r="R72" i="38"/>
  <c r="R74" i="38"/>
  <c r="R76" i="38"/>
  <c r="R78" i="38"/>
  <c r="R80" i="38"/>
  <c r="R81" i="38"/>
  <c r="R75" i="38"/>
  <c r="R67" i="38"/>
  <c r="S67" i="38"/>
  <c r="U84" i="38"/>
  <c r="Q82" i="38"/>
  <c r="P85" i="38"/>
  <c r="W77" i="38"/>
  <c r="W73" i="38"/>
  <c r="W69" i="38"/>
  <c r="P75" i="38"/>
  <c r="P67" i="38"/>
  <c r="Q75" i="38"/>
  <c r="Q67" i="38"/>
  <c r="P77" i="38"/>
  <c r="P78" i="38"/>
  <c r="P74" i="38"/>
  <c r="P70" i="38"/>
  <c r="P66" i="38"/>
  <c r="U42" i="38"/>
  <c r="P36" i="38"/>
  <c r="P83" i="38"/>
  <c r="Q80" i="38"/>
  <c r="Q72" i="38"/>
  <c r="Q60" i="38"/>
  <c r="U85" i="38"/>
  <c r="W84" i="38"/>
  <c r="P84" i="38"/>
  <c r="U82" i="38"/>
  <c r="Q77" i="38"/>
  <c r="Q73" i="38"/>
  <c r="W79" i="38"/>
  <c r="W71" i="38"/>
  <c r="R85" i="38"/>
  <c r="U75" i="38"/>
  <c r="U67" i="38"/>
  <c r="P81" i="38"/>
  <c r="U69" i="38"/>
  <c r="U73" i="38"/>
  <c r="R73" i="38"/>
  <c r="R69" i="38"/>
  <c r="P80" i="38"/>
  <c r="P76" i="38"/>
  <c r="P72" i="38"/>
  <c r="P68" i="38"/>
  <c r="P56" i="38"/>
  <c r="Q83" i="38"/>
  <c r="W83" i="38"/>
  <c r="Q76" i="38"/>
  <c r="Q68" i="38"/>
  <c r="Q64" i="38"/>
  <c r="Q85" i="38"/>
  <c r="Q84" i="38"/>
  <c r="W75" i="38"/>
  <c r="W67" i="38"/>
  <c r="U79" i="38"/>
  <c r="P73" i="38"/>
  <c r="R61" i="38"/>
  <c r="U46" i="38"/>
  <c r="U65" i="38"/>
  <c r="Q55" i="38"/>
  <c r="P62" i="38"/>
  <c r="P54" i="38"/>
  <c r="P46" i="38"/>
  <c r="P31" i="38"/>
  <c r="P60" i="38"/>
  <c r="P52" i="38"/>
  <c r="P44" i="38"/>
  <c r="W48" i="38"/>
  <c r="P58" i="38"/>
  <c r="P50" i="38"/>
  <c r="T60" i="38"/>
  <c r="T65" i="38"/>
  <c r="T57" i="38"/>
  <c r="P65" i="38"/>
  <c r="P37" i="38"/>
  <c r="P53" i="38"/>
  <c r="P49" i="38"/>
  <c r="W58" i="38"/>
  <c r="W50" i="38"/>
  <c r="R53" i="38"/>
  <c r="V49" i="38"/>
  <c r="S64" i="38"/>
  <c r="S60" i="38"/>
  <c r="S56" i="38"/>
  <c r="S52" i="38"/>
  <c r="S48" i="38"/>
  <c r="W60" i="38"/>
  <c r="W52" i="38"/>
  <c r="R32" i="38"/>
  <c r="V62" i="38"/>
  <c r="R34" i="38"/>
  <c r="W54" i="38"/>
  <c r="W46" i="38"/>
  <c r="S55" i="38"/>
  <c r="W64" i="38"/>
  <c r="W56" i="38"/>
  <c r="V46" i="38"/>
  <c r="W55" i="38"/>
  <c r="S53" i="38"/>
  <c r="W65" i="38"/>
  <c r="W61" i="38"/>
  <c r="W57" i="38"/>
  <c r="W53" i="38"/>
  <c r="W49" i="38"/>
  <c r="W59" i="38"/>
  <c r="W51" i="38"/>
  <c r="U57" i="38"/>
  <c r="U64" i="38"/>
  <c r="U60" i="38"/>
  <c r="U56" i="38"/>
  <c r="U52" i="38"/>
  <c r="U48" i="38"/>
  <c r="S62" i="38"/>
  <c r="T58" i="38"/>
  <c r="S54" i="38"/>
  <c r="T50" i="38"/>
  <c r="S46" i="38"/>
  <c r="Q62" i="38"/>
  <c r="V60" i="38"/>
  <c r="T59" i="38"/>
  <c r="Q54" i="38"/>
  <c r="V52" i="38"/>
  <c r="T51" i="38"/>
  <c r="Q46" i="38"/>
  <c r="V63" i="38"/>
  <c r="V59" i="38"/>
  <c r="V55" i="38"/>
  <c r="V51" i="38"/>
  <c r="V47" i="38"/>
  <c r="Q65" i="38"/>
  <c r="Q61" i="38"/>
  <c r="Q57" i="38"/>
  <c r="Q53" i="38"/>
  <c r="Q49" i="38"/>
  <c r="P63" i="38"/>
  <c r="P55" i="38"/>
  <c r="P47" i="38"/>
  <c r="Q59" i="38"/>
  <c r="Q51" i="38"/>
  <c r="U63" i="38"/>
  <c r="U55" i="38"/>
  <c r="U47" i="38"/>
  <c r="W47" i="38"/>
  <c r="U49" i="38"/>
  <c r="R57" i="38"/>
  <c r="S51" i="38"/>
  <c r="S65" i="38"/>
  <c r="V58" i="38"/>
  <c r="V50" i="38"/>
  <c r="R63" i="38"/>
  <c r="R59" i="38"/>
  <c r="R55" i="38"/>
  <c r="R51" i="38"/>
  <c r="R47" i="38"/>
  <c r="W63" i="38"/>
  <c r="Q47" i="38"/>
  <c r="U53" i="38"/>
  <c r="S63" i="38"/>
  <c r="S47" i="38"/>
  <c r="S57" i="38"/>
  <c r="U62" i="38"/>
  <c r="U58" i="38"/>
  <c r="U54" i="38"/>
  <c r="U50" i="38"/>
  <c r="T62" i="38"/>
  <c r="S58" i="38"/>
  <c r="T54" i="38"/>
  <c r="S50" i="38"/>
  <c r="T46" i="38"/>
  <c r="R64" i="38"/>
  <c r="R62" i="38"/>
  <c r="R60" i="38"/>
  <c r="R58" i="38"/>
  <c r="R56" i="38"/>
  <c r="R54" i="38"/>
  <c r="R52" i="38"/>
  <c r="R50" i="38"/>
  <c r="R48" i="38"/>
  <c r="R46" i="38"/>
  <c r="V64" i="38"/>
  <c r="T63" i="38"/>
  <c r="Q58" i="38"/>
  <c r="V56" i="38"/>
  <c r="T55" i="38"/>
  <c r="Q50" i="38"/>
  <c r="V48" i="38"/>
  <c r="Q38" i="38"/>
  <c r="V65" i="38"/>
  <c r="V61" i="38"/>
  <c r="V57" i="38"/>
  <c r="V53" i="38"/>
  <c r="T40" i="38"/>
  <c r="P59" i="38"/>
  <c r="P51" i="38"/>
  <c r="P43" i="38"/>
  <c r="Q63" i="38"/>
  <c r="U59" i="38"/>
  <c r="U51" i="38"/>
  <c r="U61" i="38"/>
  <c r="P57" i="38"/>
  <c r="R65" i="38"/>
  <c r="R49" i="38"/>
  <c r="P61" i="38"/>
  <c r="S59" i="38"/>
  <c r="S61" i="38"/>
  <c r="S49" i="38"/>
  <c r="Q40" i="38"/>
  <c r="U33" i="38"/>
  <c r="R45" i="38"/>
  <c r="Q42" i="38"/>
  <c r="Q44" i="38"/>
  <c r="Q43" i="38"/>
  <c r="T37" i="38"/>
  <c r="T41" i="38"/>
  <c r="P39" i="38"/>
  <c r="T44" i="38"/>
  <c r="T43" i="38"/>
  <c r="R37" i="38"/>
  <c r="V36" i="38"/>
  <c r="V42" i="38"/>
  <c r="V45" i="38"/>
  <c r="V41" i="38"/>
  <c r="V37" i="38"/>
  <c r="R43" i="38"/>
  <c r="R39" i="38"/>
  <c r="U39" i="38"/>
  <c r="P45" i="38"/>
  <c r="V40" i="38"/>
  <c r="T39" i="38"/>
  <c r="T33" i="38"/>
  <c r="Q39" i="38"/>
  <c r="P41" i="38"/>
  <c r="U41" i="38"/>
  <c r="U37" i="38"/>
  <c r="R41" i="38"/>
  <c r="V38" i="38"/>
  <c r="V43" i="38"/>
  <c r="V39" i="38"/>
  <c r="U43" i="38"/>
  <c r="U45" i="38"/>
  <c r="U44" i="38"/>
  <c r="U40" i="38"/>
  <c r="T38" i="38"/>
  <c r="R44" i="38"/>
  <c r="R42" i="38"/>
  <c r="R40" i="38"/>
  <c r="R38" i="38"/>
  <c r="R36" i="38"/>
  <c r="V44" i="38"/>
  <c r="P40" i="38"/>
  <c r="T31" i="38"/>
  <c r="Q35" i="38"/>
  <c r="Q45" i="38"/>
  <c r="Q41" i="38"/>
  <c r="Q37" i="38"/>
  <c r="Q34" i="38"/>
  <c r="U34" i="38"/>
  <c r="U31" i="38"/>
  <c r="T35" i="38"/>
  <c r="T34" i="38"/>
  <c r="V33" i="38"/>
  <c r="R33" i="38"/>
  <c r="Q33" i="38"/>
  <c r="Q31" i="38"/>
  <c r="V34" i="38"/>
  <c r="V35" i="38"/>
  <c r="V31" i="38"/>
  <c r="P32" i="38"/>
  <c r="T32" i="38"/>
  <c r="V32" i="38"/>
  <c r="R35" i="38"/>
  <c r="R31" i="38"/>
  <c r="P35" i="38"/>
  <c r="U35" i="38"/>
  <c r="P33" i="38"/>
  <c r="P34" i="38"/>
  <c r="T28" i="38"/>
  <c r="Q16" i="38"/>
  <c r="R24" i="38"/>
  <c r="Q26" i="38"/>
  <c r="R28" i="38"/>
  <c r="P29" i="38"/>
  <c r="T23" i="38"/>
  <c r="V24" i="38"/>
  <c r="R30" i="38"/>
  <c r="Q28" i="38"/>
  <c r="Q23" i="38"/>
  <c r="Q24" i="38"/>
  <c r="U25" i="38"/>
  <c r="R26" i="38"/>
  <c r="T29" i="38"/>
  <c r="T21" i="38"/>
  <c r="T22" i="38"/>
  <c r="R22" i="38"/>
  <c r="V30" i="38"/>
  <c r="V22" i="38"/>
  <c r="V29" i="38"/>
  <c r="V25" i="38"/>
  <c r="V21" i="38"/>
  <c r="R27" i="38"/>
  <c r="R23" i="38"/>
  <c r="R29" i="38"/>
  <c r="U23" i="38"/>
  <c r="R25" i="38"/>
  <c r="T30" i="38"/>
  <c r="Q30" i="38"/>
  <c r="V28" i="38"/>
  <c r="T27" i="38"/>
  <c r="Q22" i="38"/>
  <c r="P30" i="38"/>
  <c r="U26" i="38"/>
  <c r="U22" i="38"/>
  <c r="T24" i="38"/>
  <c r="T19" i="38"/>
  <c r="R19" i="38"/>
  <c r="P27" i="38"/>
  <c r="U29" i="38"/>
  <c r="U30" i="38"/>
  <c r="V26" i="38"/>
  <c r="T25" i="38"/>
  <c r="U24" i="38"/>
  <c r="P22" i="38"/>
  <c r="T26" i="38"/>
  <c r="V27" i="38"/>
  <c r="V23" i="38"/>
  <c r="Q27" i="38"/>
  <c r="U27" i="38"/>
  <c r="P25" i="38"/>
  <c r="U21" i="38"/>
  <c r="R21" i="38"/>
  <c r="P26" i="38"/>
  <c r="P28" i="38"/>
  <c r="T18" i="38"/>
  <c r="U28" i="38"/>
  <c r="P24" i="38"/>
  <c r="U18" i="38"/>
  <c r="Q29" i="38"/>
  <c r="Q25" i="38"/>
  <c r="Q21" i="38"/>
  <c r="P23" i="38"/>
  <c r="P21" i="38"/>
  <c r="Q18" i="38"/>
  <c r="P16" i="38"/>
  <c r="T20" i="38"/>
  <c r="R18" i="38"/>
  <c r="R20" i="38"/>
  <c r="V20" i="38"/>
  <c r="U19" i="38"/>
  <c r="P20" i="38"/>
  <c r="V18" i="38"/>
  <c r="Q20" i="38"/>
  <c r="T17" i="38"/>
  <c r="U20" i="38"/>
  <c r="V17" i="38"/>
  <c r="Q19" i="38"/>
  <c r="P19" i="38"/>
  <c r="V19" i="38"/>
  <c r="P18" i="38"/>
  <c r="U17" i="38"/>
  <c r="Q17" i="38"/>
  <c r="P17" i="38"/>
  <c r="R16" i="38"/>
  <c r="V16" i="38"/>
  <c r="T16" i="38"/>
  <c r="U16" i="38"/>
  <c r="R21" i="7" l="1"/>
  <c r="AA24" i="7" l="1"/>
  <c r="AB24" i="7" s="1"/>
  <c r="AD24" i="7"/>
  <c r="AE24" i="7" s="1"/>
  <c r="J26" i="56" l="1"/>
  <c r="J25" i="56"/>
  <c r="F29" i="64" l="1"/>
  <c r="H29" i="64"/>
  <c r="G29" i="64"/>
  <c r="K25" i="56"/>
  <c r="D26" i="56" s="1"/>
  <c r="I29" i="64" l="1"/>
  <c r="J29" i="64" s="1"/>
  <c r="O30" i="38" l="1"/>
  <c r="S45" i="38" l="1"/>
  <c r="S44" i="38"/>
  <c r="S36" i="38"/>
  <c r="S41" i="38"/>
  <c r="S39" i="38"/>
  <c r="S38" i="38"/>
  <c r="S37" i="38"/>
  <c r="S42" i="38"/>
  <c r="S43" i="38"/>
  <c r="S40" i="38"/>
  <c r="W44" i="38"/>
  <c r="W42" i="38"/>
  <c r="W40" i="38"/>
  <c r="W38" i="38"/>
  <c r="W37" i="38"/>
  <c r="W39" i="38"/>
  <c r="W45" i="38"/>
  <c r="W36" i="38"/>
  <c r="W41" i="38"/>
  <c r="W43" i="38"/>
  <c r="O45" i="38"/>
  <c r="B91" i="38" a="1"/>
  <c r="D91" i="38" s="1"/>
  <c r="B92" i="38" a="1"/>
  <c r="C92" i="38" s="1"/>
  <c r="O35" i="38"/>
  <c r="D92" i="38" l="1"/>
  <c r="B91" i="38"/>
  <c r="E92" i="38"/>
  <c r="C91" i="38"/>
  <c r="B92" i="38"/>
  <c r="W32" i="38" l="1"/>
  <c r="W33" i="38"/>
  <c r="W34" i="38"/>
  <c r="W31" i="38"/>
  <c r="W35" i="38"/>
  <c r="S32" i="38"/>
  <c r="S33" i="38"/>
  <c r="S35" i="38"/>
  <c r="S31" i="38"/>
  <c r="S34" i="38"/>
  <c r="W30" i="38"/>
  <c r="W22" i="38"/>
  <c r="W25" i="38"/>
  <c r="W23" i="38"/>
  <c r="W19" i="38"/>
  <c r="W28" i="38"/>
  <c r="W24" i="38"/>
  <c r="W18" i="38"/>
  <c r="W27" i="38"/>
  <c r="W16" i="38"/>
  <c r="W29" i="38"/>
  <c r="W17" i="38"/>
  <c r="W21" i="38"/>
  <c r="W20" i="38"/>
  <c r="W26" i="38"/>
  <c r="S18" i="38"/>
  <c r="S20" i="38"/>
  <c r="S17" i="38"/>
  <c r="S29" i="38"/>
  <c r="S30" i="38"/>
  <c r="S22" i="38"/>
  <c r="S23" i="38"/>
  <c r="S26" i="38"/>
  <c r="S24" i="38"/>
  <c r="S27" i="38"/>
  <c r="S25" i="38"/>
  <c r="S19" i="38"/>
  <c r="S21" i="38"/>
  <c r="S28" i="38"/>
  <c r="S16" i="38"/>
</calcChain>
</file>

<file path=xl/sharedStrings.xml><?xml version="1.0" encoding="utf-8"?>
<sst xmlns="http://schemas.openxmlformats.org/spreadsheetml/2006/main" count="3576" uniqueCount="1593">
  <si>
    <t>Stratum</t>
  </si>
  <si>
    <t>Species</t>
  </si>
  <si>
    <t>Age class</t>
  </si>
  <si>
    <t>Number of trees per ha</t>
  </si>
  <si>
    <t>-</t>
  </si>
  <si>
    <t>BDRsf</t>
  </si>
  <si>
    <t>bforest</t>
  </si>
  <si>
    <t>Density</t>
  </si>
  <si>
    <t>Biome</t>
  </si>
  <si>
    <t>Elevation</t>
  </si>
  <si>
    <t>Precipitation</t>
  </si>
  <si>
    <t>Units</t>
  </si>
  <si>
    <t>wi</t>
  </si>
  <si>
    <t>Rj</t>
  </si>
  <si>
    <t>Values</t>
  </si>
  <si>
    <t>Year</t>
  </si>
  <si>
    <t>Africa</t>
  </si>
  <si>
    <t>Asia</t>
  </si>
  <si>
    <t>Oceania</t>
  </si>
  <si>
    <t>Carbon fraction of shrub biomass</t>
  </si>
  <si>
    <t>Ratio of shrub biomass per ha</t>
  </si>
  <si>
    <t xml:space="preserve">Crown cover </t>
  </si>
  <si>
    <t>BEF</t>
  </si>
  <si>
    <t>Tropical</t>
  </si>
  <si>
    <t>Default dead wood</t>
  </si>
  <si>
    <t>Default litter</t>
  </si>
  <si>
    <t>years</t>
  </si>
  <si>
    <t>Country</t>
  </si>
  <si>
    <t>Source</t>
  </si>
  <si>
    <t>Angola</t>
  </si>
  <si>
    <t>Benin</t>
  </si>
  <si>
    <t>Botswana</t>
  </si>
  <si>
    <t>Burkina Faso</t>
  </si>
  <si>
    <t>Burundi</t>
  </si>
  <si>
    <t>Cameroon</t>
  </si>
  <si>
    <t>Cape Verde</t>
  </si>
  <si>
    <t>Central African Republic</t>
  </si>
  <si>
    <t>Chad</t>
  </si>
  <si>
    <t>Comoros</t>
  </si>
  <si>
    <t>Congo</t>
  </si>
  <si>
    <t>Côte d'Ivoire</t>
  </si>
  <si>
    <t>Dem. Rep. of the Congo</t>
  </si>
  <si>
    <t>Djibouti</t>
  </si>
  <si>
    <t>Egypt</t>
  </si>
  <si>
    <t>Equatorial Guinea</t>
  </si>
  <si>
    <t>Eritrea</t>
  </si>
  <si>
    <t>Ethiopia</t>
  </si>
  <si>
    <t>Gabon</t>
  </si>
  <si>
    <t>Gambia</t>
  </si>
  <si>
    <t>Ghana</t>
  </si>
  <si>
    <t>Guinea</t>
  </si>
  <si>
    <t>Guinea-Bissau</t>
  </si>
  <si>
    <t>Kenya</t>
  </si>
  <si>
    <t>Lesotho</t>
  </si>
  <si>
    <t>Liberia</t>
  </si>
  <si>
    <t>Libyan Arab Jamahiriya</t>
  </si>
  <si>
    <t>Madagascar</t>
  </si>
  <si>
    <t>Malawi</t>
  </si>
  <si>
    <t>Mali</t>
  </si>
  <si>
    <t>Mauritania</t>
  </si>
  <si>
    <t>Mauritius</t>
  </si>
  <si>
    <t>Morocco</t>
  </si>
  <si>
    <t>Mozambique</t>
  </si>
  <si>
    <t>Namibia</t>
  </si>
  <si>
    <t>Niger</t>
  </si>
  <si>
    <t>Nigeria</t>
  </si>
  <si>
    <t>Réunion</t>
  </si>
  <si>
    <t>Rwanda</t>
  </si>
  <si>
    <t>Saint Helena</t>
  </si>
  <si>
    <t>Sao Tome and Principe</t>
  </si>
  <si>
    <t>Senegal</t>
  </si>
  <si>
    <t>Seychelles</t>
  </si>
  <si>
    <t>Sierra Leone</t>
  </si>
  <si>
    <t>Somalia</t>
  </si>
  <si>
    <t>South Africa</t>
  </si>
  <si>
    <t>Sudan</t>
  </si>
  <si>
    <t>Swaziland</t>
  </si>
  <si>
    <t>Togo</t>
  </si>
  <si>
    <t>Tunisia</t>
  </si>
  <si>
    <t>Uganda</t>
  </si>
  <si>
    <t>United Republic of Tanzania</t>
  </si>
  <si>
    <t>Western Sahara</t>
  </si>
  <si>
    <t>Zambia</t>
  </si>
  <si>
    <t>Zimbabwe</t>
  </si>
  <si>
    <t>Afghanistan</t>
  </si>
  <si>
    <t>Armenia</t>
  </si>
  <si>
    <t>Azerbaijan</t>
  </si>
  <si>
    <t>Bahrain</t>
  </si>
  <si>
    <t>Bangladesh</t>
  </si>
  <si>
    <t>Bhutan</t>
  </si>
  <si>
    <t>Brunei Darussalam</t>
  </si>
  <si>
    <t>Cambodia</t>
  </si>
  <si>
    <t>China</t>
  </si>
  <si>
    <t>Cyprus</t>
  </si>
  <si>
    <t>Dem People's Rep. of Korea</t>
  </si>
  <si>
    <t>East Timor</t>
  </si>
  <si>
    <t>Gaza Strip</t>
  </si>
  <si>
    <t>Georgia</t>
  </si>
  <si>
    <t>India</t>
  </si>
  <si>
    <t>Indonesia</t>
  </si>
  <si>
    <t>Iran, Islamic Rep.</t>
  </si>
  <si>
    <t>Iraq</t>
  </si>
  <si>
    <t>Israel</t>
  </si>
  <si>
    <t>Japan</t>
  </si>
  <si>
    <t>Jordan</t>
  </si>
  <si>
    <t>Kazakhstan</t>
  </si>
  <si>
    <t>Kuwait</t>
  </si>
  <si>
    <t>Kyrgyzstan</t>
  </si>
  <si>
    <t>Lao People's Dem. Rep</t>
  </si>
  <si>
    <t>Lebanon</t>
  </si>
  <si>
    <t>Malaysia</t>
  </si>
  <si>
    <t>Maldives</t>
  </si>
  <si>
    <t>Mongolia</t>
  </si>
  <si>
    <t>Myanmar</t>
  </si>
  <si>
    <t>Nepal</t>
  </si>
  <si>
    <t>Oman</t>
  </si>
  <si>
    <t>Pakistan</t>
  </si>
  <si>
    <t>Philippines</t>
  </si>
  <si>
    <t>Qatar</t>
  </si>
  <si>
    <t>Republic of Korea</t>
  </si>
  <si>
    <t>Saudi Arabia</t>
  </si>
  <si>
    <t>Singapore</t>
  </si>
  <si>
    <t>Sri Lanka</t>
  </si>
  <si>
    <t>Syrian Arab Rep.</t>
  </si>
  <si>
    <t>Tajikistan</t>
  </si>
  <si>
    <t>Thailand</t>
  </si>
  <si>
    <t>Turkey</t>
  </si>
  <si>
    <t>Turkmenistan</t>
  </si>
  <si>
    <t>United Arab Emirates</t>
  </si>
  <si>
    <t>Uzbekistan</t>
  </si>
  <si>
    <t>Viet Nam</t>
  </si>
  <si>
    <t>West Bank</t>
  </si>
  <si>
    <t>Yemen</t>
  </si>
  <si>
    <t>American Samoa</t>
  </si>
  <si>
    <t>Australia</t>
  </si>
  <si>
    <t>Cook Islands</t>
  </si>
  <si>
    <t>Fiji</t>
  </si>
  <si>
    <t>French Polynesia</t>
  </si>
  <si>
    <t>Guam</t>
  </si>
  <si>
    <t>Kiribati</t>
  </si>
  <si>
    <t>Marshall Islands</t>
  </si>
  <si>
    <t>Micronesia</t>
  </si>
  <si>
    <t>Nauru</t>
  </si>
  <si>
    <t>New Caledonia</t>
  </si>
  <si>
    <t>New Zealand</t>
  </si>
  <si>
    <t>Niue</t>
  </si>
  <si>
    <t>Northern Mariana Isl.</t>
  </si>
  <si>
    <t>Palau</t>
  </si>
  <si>
    <t>Papua New Guinea</t>
  </si>
  <si>
    <t>Samoa</t>
  </si>
  <si>
    <t>Solomon Islands</t>
  </si>
  <si>
    <t>Tonga</t>
  </si>
  <si>
    <t>Vanuatu</t>
  </si>
  <si>
    <t>Albania</t>
  </si>
  <si>
    <t>Andorra</t>
  </si>
  <si>
    <t>Austria</t>
  </si>
  <si>
    <t>Belarus</t>
  </si>
  <si>
    <t>Belgium &amp; Luxembourg</t>
  </si>
  <si>
    <t>Bosnia &amp; Herzegovina</t>
  </si>
  <si>
    <t>Bulgaria</t>
  </si>
  <si>
    <t>Croatia</t>
  </si>
  <si>
    <t>Czech Republic</t>
  </si>
  <si>
    <t>Denmark</t>
  </si>
  <si>
    <t>Estonia</t>
  </si>
  <si>
    <t>Finland</t>
  </si>
  <si>
    <t>France</t>
  </si>
  <si>
    <t>Germany</t>
  </si>
  <si>
    <t>Greece</t>
  </si>
  <si>
    <t>Hungary</t>
  </si>
  <si>
    <t>Iceland</t>
  </si>
  <si>
    <t>Ireland</t>
  </si>
  <si>
    <t>Italy</t>
  </si>
  <si>
    <t>Latvia</t>
  </si>
  <si>
    <t>Liechtenstein</t>
  </si>
  <si>
    <t>Lithuania</t>
  </si>
  <si>
    <t>Malta</t>
  </si>
  <si>
    <t>Netherlands</t>
  </si>
  <si>
    <t>Norway</t>
  </si>
  <si>
    <t>Poland</t>
  </si>
  <si>
    <t>Portugal</t>
  </si>
  <si>
    <t>Republic of Moldova</t>
  </si>
  <si>
    <t>Romania</t>
  </si>
  <si>
    <t>Russian Federation</t>
  </si>
  <si>
    <t>San Marino</t>
  </si>
  <si>
    <t>Slovakia</t>
  </si>
  <si>
    <t>Slovenia</t>
  </si>
  <si>
    <t>Spain</t>
  </si>
  <si>
    <t>Sweden</t>
  </si>
  <si>
    <t>Switzerland</t>
  </si>
  <si>
    <t>The FYR of Macedonia</t>
  </si>
  <si>
    <t>Ukraine</t>
  </si>
  <si>
    <t>United Kingdom</t>
  </si>
  <si>
    <t>Yugoslavia</t>
  </si>
  <si>
    <t>Antigua and Barbuda</t>
  </si>
  <si>
    <t>Bahamas</t>
  </si>
  <si>
    <t>Barbados</t>
  </si>
  <si>
    <t>Belize</t>
  </si>
  <si>
    <t>Bermuda</t>
  </si>
  <si>
    <t>British Virgin Islands</t>
  </si>
  <si>
    <t>Canada</t>
  </si>
  <si>
    <t>Cayman Islands</t>
  </si>
  <si>
    <t>Costa Rica</t>
  </si>
  <si>
    <t>Cuba</t>
  </si>
  <si>
    <t>Dominica</t>
  </si>
  <si>
    <t>Dominican Republic</t>
  </si>
  <si>
    <t>El Salvador</t>
  </si>
  <si>
    <t>Greenland</t>
  </si>
  <si>
    <t>Grenada</t>
  </si>
  <si>
    <t>Guadeloupe</t>
  </si>
  <si>
    <t>Guatemala</t>
  </si>
  <si>
    <t>Haiti</t>
  </si>
  <si>
    <t>Honduras</t>
  </si>
  <si>
    <t>Jamaica</t>
  </si>
  <si>
    <t>Martinique</t>
  </si>
  <si>
    <t>Mexico</t>
  </si>
  <si>
    <t>Montserrat</t>
  </si>
  <si>
    <t>Netherlands Antilles</t>
  </si>
  <si>
    <t>Nicaragua</t>
  </si>
  <si>
    <t>Panama</t>
  </si>
  <si>
    <t>Puerto Rico</t>
  </si>
  <si>
    <t>Saint Kitts and Nevis</t>
  </si>
  <si>
    <t>Saint Lucia</t>
  </si>
  <si>
    <t>Saint Pierre &amp; Miquelon</t>
  </si>
  <si>
    <t>Saint Vincent and Grenadines</t>
  </si>
  <si>
    <t>Trinidad and</t>
  </si>
  <si>
    <t>Trinidad and Tobago</t>
  </si>
  <si>
    <t>United States</t>
  </si>
  <si>
    <t>US Virgin Islands</t>
  </si>
  <si>
    <t>Argentina</t>
  </si>
  <si>
    <t>Bolivia</t>
  </si>
  <si>
    <t>Brazil</t>
  </si>
  <si>
    <t>Chile</t>
  </si>
  <si>
    <t>Colombia</t>
  </si>
  <si>
    <t>Ecuador</t>
  </si>
  <si>
    <t>Falkland Islands</t>
  </si>
  <si>
    <t>French Guiana</t>
  </si>
  <si>
    <t>Guyana</t>
  </si>
  <si>
    <t>Paraguay</t>
  </si>
  <si>
    <t>Peru</t>
  </si>
  <si>
    <t>Suriname</t>
  </si>
  <si>
    <t>Uruguay</t>
  </si>
  <si>
    <t>Venezuela</t>
  </si>
  <si>
    <t>Europe</t>
  </si>
  <si>
    <t>FOR BOREAL AND TEMPERATE  SPECIES</t>
  </si>
  <si>
    <t>Species or genus</t>
  </si>
  <si>
    <t>Abies</t>
  </si>
  <si>
    <t>Acer</t>
  </si>
  <si>
    <t>Alnus</t>
  </si>
  <si>
    <t>Betula</t>
  </si>
  <si>
    <t>Carpinus betulus</t>
  </si>
  <si>
    <t>Castanea sativa</t>
  </si>
  <si>
    <t>Fagus sylvatica</t>
  </si>
  <si>
    <t>Fraxinus</t>
  </si>
  <si>
    <t>Juglans</t>
  </si>
  <si>
    <t>Larix decidua</t>
  </si>
  <si>
    <t>Larix kaempferi</t>
  </si>
  <si>
    <t>Picea abies</t>
  </si>
  <si>
    <t>Picea sitchensis</t>
  </si>
  <si>
    <t>Pinus pinaster</t>
  </si>
  <si>
    <t>Pinus strobus</t>
  </si>
  <si>
    <t>Pinus sylvestris</t>
  </si>
  <si>
    <t>Populus</t>
  </si>
  <si>
    <t>Prunus</t>
  </si>
  <si>
    <t>Pseudotsuga menziesii</t>
  </si>
  <si>
    <t>Quercus</t>
  </si>
  <si>
    <t>Salix</t>
  </si>
  <si>
    <t>Thuja plicata</t>
  </si>
  <si>
    <t>Tilia</t>
  </si>
  <si>
    <t>Tsuga</t>
  </si>
  <si>
    <t>Adina cordifolia</t>
  </si>
  <si>
    <t>Aidia ochroleuca</t>
  </si>
  <si>
    <t>Aegle marmelo</t>
  </si>
  <si>
    <t>Alexa grandiflora</t>
  </si>
  <si>
    <t>Alnus ferruginea</t>
  </si>
  <si>
    <t>Aglaia llanosiana</t>
  </si>
  <si>
    <t>Anacardium excelsum</t>
  </si>
  <si>
    <t>Alangium longiflorum</t>
  </si>
  <si>
    <t>Anadenanthera macrocarpa</t>
  </si>
  <si>
    <t>Alstonia congensis</t>
  </si>
  <si>
    <t>Albizzia amara</t>
  </si>
  <si>
    <t>Andira retusa</t>
  </si>
  <si>
    <t>Amphimas pterocarpoides</t>
  </si>
  <si>
    <t>Albizzia falcataria</t>
  </si>
  <si>
    <t>Anisophyllea obtusifolia</t>
  </si>
  <si>
    <t>Aleurites trisperma</t>
  </si>
  <si>
    <t>Antiaris africana</t>
  </si>
  <si>
    <t>Annonidium mannii</t>
  </si>
  <si>
    <t>Alnus japonica</t>
  </si>
  <si>
    <t>Apeiba echinata</t>
  </si>
  <si>
    <t>Anopyxis klaineana</t>
  </si>
  <si>
    <t>Alphitonia zizyphoides</t>
  </si>
  <si>
    <t>Artocarpus comunis</t>
  </si>
  <si>
    <t>Anthocleista keniensis</t>
  </si>
  <si>
    <t>Alphonsea arborea</t>
  </si>
  <si>
    <t>Anthonotha macrophylla</t>
  </si>
  <si>
    <t>Alseodaphne longipes</t>
  </si>
  <si>
    <t>Astronium lecointei</t>
  </si>
  <si>
    <t>Anthostemma aubryanum</t>
  </si>
  <si>
    <t>Bagassa guianensis</t>
  </si>
  <si>
    <t>Banara guianensis</t>
  </si>
  <si>
    <t>Antrocaryon klaineanum</t>
  </si>
  <si>
    <t>Anisophyllea zeylanica</t>
  </si>
  <si>
    <t>Basiloxylon exelsum</t>
  </si>
  <si>
    <t>Aucoumea klaineana</t>
  </si>
  <si>
    <t>Beilschmiedia sp.</t>
  </si>
  <si>
    <t>Autranella congolensis</t>
  </si>
  <si>
    <t>Anogeissus latifolia</t>
  </si>
  <si>
    <t>Baillonella toxisperma</t>
  </si>
  <si>
    <t>Anthocephalus chinensis</t>
  </si>
  <si>
    <t>Bixa arborea</t>
  </si>
  <si>
    <t>Balanites aegyptiaca</t>
  </si>
  <si>
    <t>Antidesma pleuricum</t>
  </si>
  <si>
    <t>Bombacopsis sepium</t>
  </si>
  <si>
    <t>Baphia kirkii</t>
  </si>
  <si>
    <t>Aphanamiris perrottetiana</t>
  </si>
  <si>
    <t>Borojoa patinoi</t>
  </si>
  <si>
    <t>Beilschmiedia louisii</t>
  </si>
  <si>
    <t>Araucaria bidwillii</t>
  </si>
  <si>
    <t>Beilschmiedia nitida</t>
  </si>
  <si>
    <t>Brosimum utile</t>
  </si>
  <si>
    <t>Blighia welwitschii</t>
  </si>
  <si>
    <t>Brysenia adenophylla</t>
  </si>
  <si>
    <t>Bucida buceras</t>
  </si>
  <si>
    <t>Bridelia micrantha</t>
  </si>
  <si>
    <t>Beilschmiedia tawa</t>
  </si>
  <si>
    <t>Calpocalyx klainei</t>
  </si>
  <si>
    <t>Berrya cordifolia</t>
  </si>
  <si>
    <t>Bursera simaruba</t>
  </si>
  <si>
    <t>Bischofia javanica</t>
  </si>
  <si>
    <t>Byrsonima coriacea</t>
  </si>
  <si>
    <t>Canthium rubrocostratum</t>
  </si>
  <si>
    <t>Bleasdalea vitiensis</t>
  </si>
  <si>
    <t>Carapa procera</t>
  </si>
  <si>
    <t>Casearia battiscombei</t>
  </si>
  <si>
    <t>Calophyllum sp.</t>
  </si>
  <si>
    <t>Cassipourea euryoides</t>
  </si>
  <si>
    <t>Campnosperma panamensis</t>
  </si>
  <si>
    <t>Boswellia serrata</t>
  </si>
  <si>
    <t>Cassipourea malosana</t>
  </si>
  <si>
    <t>Bridelia squamosa</t>
  </si>
  <si>
    <t>Ceiba pentandra</t>
  </si>
  <si>
    <t>Bursera serrata</t>
  </si>
  <si>
    <t>Casearia sp.</t>
  </si>
  <si>
    <t>Butea monosperma</t>
  </si>
  <si>
    <t>Cassia moschata</t>
  </si>
  <si>
    <t>Chrysophyllum albidum</t>
  </si>
  <si>
    <t>Casuarina equisetifolia</t>
  </si>
  <si>
    <t>Cleistanthus mildbraedii</t>
  </si>
  <si>
    <t>Calycarpa arborea</t>
  </si>
  <si>
    <t>Cleistopholis patens</t>
  </si>
  <si>
    <t>Cananga odorata</t>
  </si>
  <si>
    <t>Coelocaryon preussii</t>
  </si>
  <si>
    <t>Cola sp.</t>
  </si>
  <si>
    <t>Canthium monstrosum</t>
  </si>
  <si>
    <t>Cedrelinga catenaeformis</t>
  </si>
  <si>
    <t>Carallia calycina</t>
  </si>
  <si>
    <t>Conopharyngia holstii</t>
  </si>
  <si>
    <t>Cassia javanica</t>
  </si>
  <si>
    <t>Castanopsis philippensis</t>
  </si>
  <si>
    <t>Cespedesia macrophylla</t>
  </si>
  <si>
    <t>Cordia millenii</t>
  </si>
  <si>
    <t>Chaetocarpus schomburgkianus</t>
  </si>
  <si>
    <t>Cordia platythyrsa</t>
  </si>
  <si>
    <t>Casuarina nodiflora</t>
  </si>
  <si>
    <t>Chlorophora tinctoria</t>
  </si>
  <si>
    <t>Corynanthe pachyceras</t>
  </si>
  <si>
    <t>Cedrela odorata</t>
  </si>
  <si>
    <t>Clarisia racemosa</t>
  </si>
  <si>
    <t>Coda edulis</t>
  </si>
  <si>
    <t>Clusia rosea</t>
  </si>
  <si>
    <t>Croton megalocarpus</t>
  </si>
  <si>
    <t>Cochlospermum orinocensis</t>
  </si>
  <si>
    <t>Cedrela toona</t>
  </si>
  <si>
    <t>Cryptosepalum staudtii</t>
  </si>
  <si>
    <t>Ctenolophon englerianus</t>
  </si>
  <si>
    <t>Celtis luzonica</t>
  </si>
  <si>
    <t>Cylicodiscus gabonensis</t>
  </si>
  <si>
    <t>Chisocheton pentandrus</t>
  </si>
  <si>
    <t>Cynometra alexandri</t>
  </si>
  <si>
    <t>Chloroxylon swietenia</t>
  </si>
  <si>
    <t>Couepia sp.</t>
  </si>
  <si>
    <t>Chukrassia tabularis</t>
  </si>
  <si>
    <t>Couma macrocarpa</t>
  </si>
  <si>
    <t>Citrus grandis</t>
  </si>
  <si>
    <t>Desbordesia pierreana</t>
  </si>
  <si>
    <t>Cleidion speciflorum</t>
  </si>
  <si>
    <t>Croton xanthochloros</t>
  </si>
  <si>
    <t>Detarium senegalensis</t>
  </si>
  <si>
    <t>Cleistanthus eollinus</t>
  </si>
  <si>
    <t>Cupressus lusitanica</t>
  </si>
  <si>
    <t>Dialium excelsum</t>
  </si>
  <si>
    <t>Cyrilla racemiflora</t>
  </si>
  <si>
    <t>Didelotia africana</t>
  </si>
  <si>
    <t>Dactyodes colombiana</t>
  </si>
  <si>
    <t>Didelotia letouzeyi</t>
  </si>
  <si>
    <t>Cocos nucifera</t>
  </si>
  <si>
    <t>Dacryodes excelsa</t>
  </si>
  <si>
    <t>Colona serratifolia</t>
  </si>
  <si>
    <t>Dalbergia retusa.</t>
  </si>
  <si>
    <t>Discoglypremna caloneura</t>
  </si>
  <si>
    <t>Combretodendron quadrialatum</t>
  </si>
  <si>
    <t>Dalbergia stevensonii</t>
  </si>
  <si>
    <t>Distemonanthus benthamianus</t>
  </si>
  <si>
    <t>Declinanona calycina</t>
  </si>
  <si>
    <t>Drypetes sp.</t>
  </si>
  <si>
    <t>Ehretia acuminata</t>
  </si>
  <si>
    <t>Crataeva religiosa</t>
  </si>
  <si>
    <t>Enantia chlorantha</t>
  </si>
  <si>
    <t>Cratoxylon arborescens</t>
  </si>
  <si>
    <t>Dicorynia paraensis</t>
  </si>
  <si>
    <t>Endodesmia calophylloides</t>
  </si>
  <si>
    <t>Didymopanax sp.</t>
  </si>
  <si>
    <t>Entandrophragma utile</t>
  </si>
  <si>
    <t>Cubilia cubili</t>
  </si>
  <si>
    <t>Dimorphandra mora</t>
  </si>
  <si>
    <t>Eribroma oblongum</t>
  </si>
  <si>
    <t>Cullenia excelsa</t>
  </si>
  <si>
    <t>Diplotropis purpurea</t>
  </si>
  <si>
    <t>Eriocoelum microspermum</t>
  </si>
  <si>
    <t>Erismadelphus ensul</t>
  </si>
  <si>
    <t>Dacrycarpus imbricatus</t>
  </si>
  <si>
    <t>Drypetes variabilis</t>
  </si>
  <si>
    <t>Erythrina vogelii</t>
  </si>
  <si>
    <t>Dussia lehmannii</t>
  </si>
  <si>
    <t>Erythrophleum ivorense</t>
  </si>
  <si>
    <t>Ecclinusa guianensis</t>
  </si>
  <si>
    <t>Dalbergia paniculata</t>
  </si>
  <si>
    <t>Fagara macrophylla</t>
  </si>
  <si>
    <t>Enterolobium schomburgkii</t>
  </si>
  <si>
    <t>Decussocarpus vitiensis</t>
  </si>
  <si>
    <t>Ficus iteophylla</t>
  </si>
  <si>
    <t>Degeneria vitiensis</t>
  </si>
  <si>
    <t>Fumtumia latifolia</t>
  </si>
  <si>
    <t>Dehaasia triandra</t>
  </si>
  <si>
    <t>Erisma uncinatum</t>
  </si>
  <si>
    <t>Garcinia punctata</t>
  </si>
  <si>
    <t>Gilletiodendron mildbraedii</t>
  </si>
  <si>
    <t>Erythrina sp.</t>
  </si>
  <si>
    <t>Gossweilerodendron balsamiferum</t>
  </si>
  <si>
    <t>Diplodiscus paniculatus</t>
  </si>
  <si>
    <t>Eucalyptus robusta</t>
  </si>
  <si>
    <t>Dipterocarpus caudatus</t>
  </si>
  <si>
    <t>Eugenia stahlii</t>
  </si>
  <si>
    <t>Dipterocarpus eurynchus</t>
  </si>
  <si>
    <t>Euxylophora paraensis</t>
  </si>
  <si>
    <t>Hannoa klaineana</t>
  </si>
  <si>
    <t>Harungana madagascariensis</t>
  </si>
  <si>
    <t>Dipterocarpus gracilis</t>
  </si>
  <si>
    <t>Dipterocarpus grandiflorus</t>
  </si>
  <si>
    <t>Hexalobus crispiflorus</t>
  </si>
  <si>
    <t>Dipterocarpus kerrii</t>
  </si>
  <si>
    <t>Holoptelea grandis</t>
  </si>
  <si>
    <t>Dipterocarpus kunstlerii</t>
  </si>
  <si>
    <t>Goupia glabra</t>
  </si>
  <si>
    <t>Guarea chalde</t>
  </si>
  <si>
    <t>Dipterocarpus warburgii</t>
  </si>
  <si>
    <t>Hymenostegia pellegrini</t>
  </si>
  <si>
    <t>Irvingia grandifolia</t>
  </si>
  <si>
    <t>Guazuma ulmifolia</t>
  </si>
  <si>
    <t>Julbernardia globiflora</t>
  </si>
  <si>
    <t>Dtypetes bordenii</t>
  </si>
  <si>
    <t>Khaya ivorensis</t>
  </si>
  <si>
    <t>Guillielma gasipae</t>
  </si>
  <si>
    <t>Klainedoxa gabonensis</t>
  </si>
  <si>
    <t>Dyera costulata</t>
  </si>
  <si>
    <t>Dysoxylum quercifolium</t>
  </si>
  <si>
    <t>Helicostylis tomentosa</t>
  </si>
  <si>
    <t>Lecomtedoxa klainenna</t>
  </si>
  <si>
    <t>Elaeocarpus serratus</t>
  </si>
  <si>
    <t>Hernandia Sonora</t>
  </si>
  <si>
    <t>Letestua durissima</t>
  </si>
  <si>
    <t>Emblica officinalis</t>
  </si>
  <si>
    <t>Lophira alata</t>
  </si>
  <si>
    <t>Endiandra laxiflora</t>
  </si>
  <si>
    <t>Lovoa trichilioides</t>
  </si>
  <si>
    <t>Hirtella davisii</t>
  </si>
  <si>
    <t>Enterolobium cyclocarpum</t>
  </si>
  <si>
    <t>Humiria balsamifera</t>
  </si>
  <si>
    <t>Maesopsis eminii</t>
  </si>
  <si>
    <t>Epicharis cumingiana</t>
  </si>
  <si>
    <t>Humiriastrum procera</t>
  </si>
  <si>
    <t>Erythrina subumbrans</t>
  </si>
  <si>
    <t>Hura crepitans</t>
  </si>
  <si>
    <t>Mammea africana</t>
  </si>
  <si>
    <t>Erythrophloeum densiflorum</t>
  </si>
  <si>
    <t>Hyeronima alchorneoides</t>
  </si>
  <si>
    <t>Manilkara lacera</t>
  </si>
  <si>
    <t>Eucalyptus citriodora</t>
  </si>
  <si>
    <t>Hyeronima laxiflora</t>
  </si>
  <si>
    <t>Markhamia platycalyx</t>
  </si>
  <si>
    <t>Eucalyptus deglupta</t>
  </si>
  <si>
    <t>Hymenaea davisii</t>
  </si>
  <si>
    <t>Memecylon capitellatum</t>
  </si>
  <si>
    <t>Microberlinia brazzavillensis</t>
  </si>
  <si>
    <t>Microcos coriaceus</t>
  </si>
  <si>
    <t>Ficus benjamina</t>
  </si>
  <si>
    <t>Mitragyna stipulosa</t>
  </si>
  <si>
    <t>Ganua obovatifolia</t>
  </si>
  <si>
    <t>Joannesia heveoides</t>
  </si>
  <si>
    <t>Garcinia myrtifolia</t>
  </si>
  <si>
    <t>Lachmellea speciosa</t>
  </si>
  <si>
    <t>Musanga cecropioides</t>
  </si>
  <si>
    <t>Laetia procera</t>
  </si>
  <si>
    <t>Nauclea diderrichii</t>
  </si>
  <si>
    <t>Gardenia turgida</t>
  </si>
  <si>
    <t>Neopoutonia macrocalyx</t>
  </si>
  <si>
    <t>Nesogordonia papaverifera</t>
  </si>
  <si>
    <t>Garuga pinnata</t>
  </si>
  <si>
    <t>Ochtocosmus africanus</t>
  </si>
  <si>
    <t>Gmelina arborea</t>
  </si>
  <si>
    <t>Lindackeria sp.</t>
  </si>
  <si>
    <t>Gmelina vitiensis</t>
  </si>
  <si>
    <t>Linociera domingensis</t>
  </si>
  <si>
    <t>Oldfieldia africana</t>
  </si>
  <si>
    <t>Gonocaryum calleryanum</t>
  </si>
  <si>
    <t>Ongokea gore</t>
  </si>
  <si>
    <t>Gonystylus punctatus</t>
  </si>
  <si>
    <t>Loxopterygium sagotii</t>
  </si>
  <si>
    <t>Oxystigma oxyphyllum</t>
  </si>
  <si>
    <t>Grewia tiliaefolia</t>
  </si>
  <si>
    <t>Pachyelasma tessmannii</t>
  </si>
  <si>
    <t>Hardwickia binata</t>
  </si>
  <si>
    <t>Pachypodanthium staudtii</t>
  </si>
  <si>
    <t>Harpullia arborea</t>
  </si>
  <si>
    <t>Lueheopsis duckeana</t>
  </si>
  <si>
    <t>Paraberlinia bifoliolata</t>
  </si>
  <si>
    <t>Mabea piriri</t>
  </si>
  <si>
    <t>Parinari glabra</t>
  </si>
  <si>
    <t>Hevea brasiliensis</t>
  </si>
  <si>
    <t>Hibiscus tiliaceus</t>
  </si>
  <si>
    <t>Macoubea guianensis</t>
  </si>
  <si>
    <t>Pausinystalia brachythyrsa</t>
  </si>
  <si>
    <t>Homalanthus populneus</t>
  </si>
  <si>
    <t>Maguira sclerophylla</t>
  </si>
  <si>
    <t>Pentaclethra macrophylla</t>
  </si>
  <si>
    <t>Hopea acuminata</t>
  </si>
  <si>
    <t>Mammea americana</t>
  </si>
  <si>
    <t>Pentadesma butyracea</t>
  </si>
  <si>
    <t>Mangifera indica</t>
  </si>
  <si>
    <t>Phyllanthus discoideus</t>
  </si>
  <si>
    <t>Intsia palembanica</t>
  </si>
  <si>
    <t>Pierreodendron africanum</t>
  </si>
  <si>
    <t>Kayea garciae</t>
  </si>
  <si>
    <t>Marila sp.</t>
  </si>
  <si>
    <t>Piptadeniastrum africanum</t>
  </si>
  <si>
    <t>Parkia roxburghii</t>
  </si>
  <si>
    <t>Peltophorum pterocarpum</t>
  </si>
  <si>
    <t>Quercus alata</t>
  </si>
  <si>
    <t>Quercus costaricensis</t>
  </si>
  <si>
    <t>Phaeanthus ebracteolatus</t>
  </si>
  <si>
    <t>Quercus eugeniaefolia</t>
  </si>
  <si>
    <t>Phyllocladus hypophyllus</t>
  </si>
  <si>
    <t>Pinus caribaea</t>
  </si>
  <si>
    <t>Raputia sp.</t>
  </si>
  <si>
    <t>Pinus insularis</t>
  </si>
  <si>
    <t>Pinus merkusii</t>
  </si>
  <si>
    <t>Pisonia umbellifera</t>
  </si>
  <si>
    <t>Pittosporum pentandrum</t>
  </si>
  <si>
    <t>Polyalthia flava</t>
  </si>
  <si>
    <t>Polyscias nodosa</t>
  </si>
  <si>
    <t>Simaba multiflora</t>
  </si>
  <si>
    <t>Simarouba amara</t>
  </si>
  <si>
    <t>Pouteria villamilii</t>
  </si>
  <si>
    <t>Sloanea guianensis</t>
  </si>
  <si>
    <t>Premna tomentosa</t>
  </si>
  <si>
    <t>Spondias mombin</t>
  </si>
  <si>
    <t>Pterocarpus marsupium</t>
  </si>
  <si>
    <t>Swietenia macrophylla</t>
  </si>
  <si>
    <t>Radermachera pinnata</t>
  </si>
  <si>
    <t>Symphonia globulifera</t>
  </si>
  <si>
    <t>Salmalia malabarica</t>
  </si>
  <si>
    <t>Samanea saman</t>
  </si>
  <si>
    <t>Sandoricum vidalii</t>
  </si>
  <si>
    <t>Sapindus saponaria</t>
  </si>
  <si>
    <t>Tabebuia stenocalyx</t>
  </si>
  <si>
    <t>Sapium luzontcum</t>
  </si>
  <si>
    <t>Tachigalia myrmecophylla</t>
  </si>
  <si>
    <t>Schleichera oleosa</t>
  </si>
  <si>
    <t>Talisia sp.</t>
  </si>
  <si>
    <t>Schrebera swietenoides</t>
  </si>
  <si>
    <t>Tapirira guianensis</t>
  </si>
  <si>
    <t>Semicarpus anacardium</t>
  </si>
  <si>
    <t>Serialbizia acle</t>
  </si>
  <si>
    <t>Serianthes melanesica</t>
  </si>
  <si>
    <t>Toluifera balsamum</t>
  </si>
  <si>
    <t>Sesbania grandiflora</t>
  </si>
  <si>
    <t>Torrubia sp.</t>
  </si>
  <si>
    <t>Toulicia pulvinata</t>
  </si>
  <si>
    <t>Shorea astylosa</t>
  </si>
  <si>
    <t>Tovomita guianensis</t>
  </si>
  <si>
    <t>Shorea ciliata</t>
  </si>
  <si>
    <t>Trattinickia sp.</t>
  </si>
  <si>
    <t>Shorea contorta</t>
  </si>
  <si>
    <t>Trichilia propingua</t>
  </si>
  <si>
    <t>Trichosperma mexicanum</t>
  </si>
  <si>
    <t>Trophis sp.</t>
  </si>
  <si>
    <t>Shorea palosapis</t>
  </si>
  <si>
    <t>Shorea plagata</t>
  </si>
  <si>
    <t>Shorea polita</t>
  </si>
  <si>
    <t>Vitex stahelii</t>
  </si>
  <si>
    <t>Shorea robusta</t>
  </si>
  <si>
    <t>Vouacapoua americana</t>
  </si>
  <si>
    <t>Warszewicsia coccinea</t>
  </si>
  <si>
    <t>Xanthoxylum martinicensis</t>
  </si>
  <si>
    <t>Xylopia frutescens</t>
  </si>
  <si>
    <t>Sloanea javanica</t>
  </si>
  <si>
    <t>Soymida febrifuga</t>
  </si>
  <si>
    <t>Spathodea campanulata</t>
  </si>
  <si>
    <t>Stemonurus luzoniensis</t>
  </si>
  <si>
    <t>Sterculia vitiensis</t>
  </si>
  <si>
    <t>Stereospermum suaveolens</t>
  </si>
  <si>
    <t>Strombosia philippinensis</t>
  </si>
  <si>
    <t>Strychnos potatorum</t>
  </si>
  <si>
    <t>Swintonia foxworthyi</t>
  </si>
  <si>
    <t>Sycopsis dunni</t>
  </si>
  <si>
    <t>Tamarindus indica</t>
  </si>
  <si>
    <t>Tectona grandis</t>
  </si>
  <si>
    <t>Terminalia citrina</t>
  </si>
  <si>
    <t>Terminalia copelandii</t>
  </si>
  <si>
    <t>Terminalia microcarpa</t>
  </si>
  <si>
    <t>Terminalia nitens</t>
  </si>
  <si>
    <t>Terminalia pterocarpa</t>
  </si>
  <si>
    <t>Terminalia tomentosa</t>
  </si>
  <si>
    <t>Ternstroemia megacarpa</t>
  </si>
  <si>
    <t>Tetrameles nudiflora</t>
  </si>
  <si>
    <t>Tetramerista glabra</t>
  </si>
  <si>
    <t>Thespesia populnea</t>
  </si>
  <si>
    <t>Trema orientalis</t>
  </si>
  <si>
    <t>Trichospermum richii</t>
  </si>
  <si>
    <t>Turpinia ovalifolia</t>
  </si>
  <si>
    <t>Vateria indica</t>
  </si>
  <si>
    <t>Wrightia tinctorea</t>
  </si>
  <si>
    <t>Xanthophyllum excelsum</t>
  </si>
  <si>
    <t>Xylia xylocarpa</t>
  </si>
  <si>
    <t>Zanthoxylum rhetsa</t>
  </si>
  <si>
    <t>Maximum rotation period</t>
  </si>
  <si>
    <t>Age at beginning of simulation</t>
  </si>
  <si>
    <t>Concatenate for Lookup parameters</t>
  </si>
  <si>
    <t>Concatenate for Lookup age</t>
  </si>
  <si>
    <t>Diesel</t>
  </si>
  <si>
    <t>Gasoline</t>
  </si>
  <si>
    <t>EF</t>
  </si>
  <si>
    <t>MW n2o</t>
  </si>
  <si>
    <t>GPW</t>
  </si>
  <si>
    <t>Emissions</t>
  </si>
  <si>
    <r>
      <t>BEF</t>
    </r>
    <r>
      <rPr>
        <b/>
        <sz val="6"/>
        <rFont val="Verdana"/>
        <family val="2"/>
      </rPr>
      <t xml:space="preserve">2   </t>
    </r>
    <r>
      <rPr>
        <b/>
        <sz val="9"/>
        <rFont val="Verdana"/>
        <family val="2"/>
      </rPr>
      <t>(overbark)</t>
    </r>
  </si>
  <si>
    <t>Climatic zone</t>
  </si>
  <si>
    <t>Forest type</t>
  </si>
  <si>
    <t>Boreal</t>
  </si>
  <si>
    <t>Conifers</t>
  </si>
  <si>
    <t>0-8.0</t>
  </si>
  <si>
    <t>Mean</t>
  </si>
  <si>
    <t>Min.</t>
  </si>
  <si>
    <t>Max.</t>
  </si>
  <si>
    <t>Broadleaf</t>
  </si>
  <si>
    <t>Temperate</t>
  </si>
  <si>
    <t>Conifers: Spruce-fir</t>
  </si>
  <si>
    <t>0-12.5</t>
  </si>
  <si>
    <t>Pines</t>
  </si>
  <si>
    <t>10.0</t>
  </si>
  <si>
    <t>Biomass Expansion Factors (BEFs)</t>
  </si>
  <si>
    <t>Root-shoot ratio for shrubs</t>
  </si>
  <si>
    <t>Calculations:</t>
  </si>
  <si>
    <t>dimensionless</t>
  </si>
  <si>
    <t>Age</t>
  </si>
  <si>
    <t>Height (m)</t>
  </si>
  <si>
    <t>Basal area (m²/ha)</t>
  </si>
  <si>
    <t>Standing volume (m³/ha)</t>
  </si>
  <si>
    <t>Trees per ha</t>
  </si>
  <si>
    <t>Actual height data (m)</t>
  </si>
  <si>
    <t>Actual diameter data (cm)</t>
  </si>
  <si>
    <t>Actual basal area data (m²/ha)</t>
  </si>
  <si>
    <t>Actual volume data (m³/ha)</t>
  </si>
  <si>
    <t>Select timespan</t>
  </si>
  <si>
    <t xml:space="preserve">Select starting year </t>
  </si>
  <si>
    <t>Chart Types</t>
  </si>
  <si>
    <t>Height model (m)</t>
  </si>
  <si>
    <t>Diameter model (cm)</t>
  </si>
  <si>
    <t>Basal area model (m²/ha)</t>
  </si>
  <si>
    <t>Polynomial Functions</t>
  </si>
  <si>
    <t xml:space="preserve">y = ax^n + bx^(n-1) + cx^(n-2) + … + m  </t>
  </si>
  <si>
    <t>Quadratic</t>
  </si>
  <si>
    <t>Cubic</t>
  </si>
  <si>
    <t>n=2</t>
  </si>
  <si>
    <t>n=3</t>
  </si>
  <si>
    <t xml:space="preserve">Height </t>
  </si>
  <si>
    <t>a</t>
  </si>
  <si>
    <t>b</t>
  </si>
  <si>
    <t>c</t>
  </si>
  <si>
    <t>d</t>
  </si>
  <si>
    <t>e</t>
  </si>
  <si>
    <t>Power = 2</t>
  </si>
  <si>
    <t>Power = 3</t>
  </si>
  <si>
    <t>Diameter</t>
  </si>
  <si>
    <t>Basal area</t>
  </si>
  <si>
    <t>Standing volume</t>
  </si>
  <si>
    <t>Concatenate for Real Data</t>
  </si>
  <si>
    <t>% N</t>
  </si>
  <si>
    <t>Kg</t>
  </si>
  <si>
    <t>%N * Kg</t>
  </si>
  <si>
    <t>1-Frac synt</t>
  </si>
  <si>
    <t>1-Frac org</t>
  </si>
  <si>
    <t>Sumatory of %N*kg</t>
  </si>
  <si>
    <t>Sumatory of %N*kg (org)</t>
  </si>
  <si>
    <t>Area</t>
  </si>
  <si>
    <t>Disclaimer</t>
  </si>
  <si>
    <t>CF trees</t>
  </si>
  <si>
    <t>BEF*Density*Volume</t>
  </si>
  <si>
    <t>Continent</t>
  </si>
  <si>
    <t>Sawnwood</t>
  </si>
  <si>
    <t>Wood-based panels</t>
  </si>
  <si>
    <t>Other industrial round wood</t>
  </si>
  <si>
    <t>Paper and paper board</t>
  </si>
  <si>
    <t>Wood waste</t>
  </si>
  <si>
    <t>SLF</t>
  </si>
  <si>
    <t>OF</t>
  </si>
  <si>
    <t>Other</t>
  </si>
  <si>
    <t>Actual values</t>
  </si>
  <si>
    <t>Model 1</t>
  </si>
  <si>
    <t>Model 2</t>
  </si>
  <si>
    <t>Synthetic fertilizer</t>
  </si>
  <si>
    <t>Organic fertilizer</t>
  </si>
  <si>
    <t>America</t>
  </si>
  <si>
    <t>This sheet is unprotected!</t>
  </si>
  <si>
    <t>ha</t>
  </si>
  <si>
    <r>
      <t xml:space="preserve">Species or group of species
</t>
    </r>
    <r>
      <rPr>
        <sz val="10"/>
        <color theme="0"/>
        <rFont val="Arial"/>
        <family val="2"/>
      </rPr>
      <t>(dimensionless)</t>
    </r>
  </si>
  <si>
    <r>
      <t xml:space="preserve">Carbon fraction
</t>
    </r>
    <r>
      <rPr>
        <sz val="10"/>
        <color theme="0"/>
        <rFont val="Arial"/>
        <family val="2"/>
      </rPr>
      <t>Default value = 0.47
(dimensionless)</t>
    </r>
  </si>
  <si>
    <t>Units - select</t>
  </si>
  <si>
    <t>Wood product classification</t>
  </si>
  <si>
    <t>Stratum area (ha)</t>
  </si>
  <si>
    <t xml:space="preserve">Wood product </t>
  </si>
  <si>
    <t>Height model 1 (n=2) (m)</t>
  </si>
  <si>
    <t>Diameter model 1 (n=2) (cm)</t>
  </si>
  <si>
    <t>Basal area model 1 (n=2) (m²/ha)</t>
  </si>
  <si>
    <t>Volume model 1 (n=2) (m³/ha)</t>
  </si>
  <si>
    <t>Height model 2 (n=3) (m)</t>
  </si>
  <si>
    <t>Diameter model 2 (n=3) (cm)</t>
  </si>
  <si>
    <t>Basal area model 2 (n=3) (m²/ha)</t>
  </si>
  <si>
    <t>Volume model 2 (n=3) (m³/ha)</t>
  </si>
  <si>
    <t>Carbon stocks trees (tCO2e)</t>
  </si>
  <si>
    <t>Carbon stocks shrubs (tCO2e)</t>
  </si>
  <si>
    <t>Carbon stocks dead wood (tCO2e)</t>
  </si>
  <si>
    <t>Carbon stocks litter (tCO2e)</t>
  </si>
  <si>
    <t>Total Carbon stocks - all pools (tCO2e)</t>
  </si>
  <si>
    <t>CONCATENATE</t>
  </si>
  <si>
    <t>Emission factor for diesel (default = 0.002886 t per litre)</t>
  </si>
  <si>
    <t>Emission factor for gasoline (0.002810t per litre)</t>
  </si>
  <si>
    <t>Default values according to the SALM methodology</t>
  </si>
  <si>
    <t>.</t>
  </si>
  <si>
    <t>Year 2</t>
  </si>
  <si>
    <t>Pais</t>
  </si>
  <si>
    <t>Total annual carbon stock due long live wood products</t>
  </si>
  <si>
    <t>Year of start</t>
  </si>
  <si>
    <t>Default values for shrubs</t>
  </si>
  <si>
    <t>Crown cover of shrubs (IPCC)</t>
  </si>
  <si>
    <t>Area within FMU (ha)</t>
  </si>
  <si>
    <t xml:space="preserve">Form factor </t>
  </si>
  <si>
    <t>Calculate basal area</t>
  </si>
  <si>
    <t>Calculate standing volume</t>
  </si>
  <si>
    <t>CF shrubs</t>
  </si>
  <si>
    <t>Do you want to calculate only carbon emissions from tropical forests caused by logging activities?</t>
  </si>
  <si>
    <t xml:space="preserve">Do you want to simulate future carbon stock changes of your forest resources? </t>
  </si>
  <si>
    <t xml:space="preserve">Do you have growth models available to simulate future carbon stock changes of your forest resources? </t>
  </si>
  <si>
    <t>Objective and scope of this tool</t>
  </si>
  <si>
    <t>Protection</t>
  </si>
  <si>
    <t>Total emissions from logging (MgCm-3)</t>
  </si>
  <si>
    <t>Year 1</t>
  </si>
  <si>
    <t>Total annual carbon stock due HWP</t>
  </si>
  <si>
    <t>Credits</t>
  </si>
  <si>
    <t xml:space="preserve">Tree species parameter definition </t>
  </si>
  <si>
    <t>1 = Baker et al., 2004b; 2 = Barbosa and Fearnside, 2004;
 3 = CTFT, 1989; 4 = Fearnside, 1997; 5 = Reyes et al., 1992</t>
  </si>
  <si>
    <t>Reference</t>
  </si>
  <si>
    <t>0.58-0.59</t>
  </si>
  <si>
    <t>Afzelia bipidensis</t>
  </si>
  <si>
    <t>0.67-0.79</t>
  </si>
  <si>
    <t>Agathis sp.</t>
  </si>
  <si>
    <t>Agonandra brasiliensis</t>
  </si>
  <si>
    <t>Americas</t>
  </si>
  <si>
    <t>Albizia sp.</t>
  </si>
  <si>
    <t>Alcornea sp.</t>
  </si>
  <si>
    <t>Aldina heterophylla</t>
  </si>
  <si>
    <t>Alexa imperatricis</t>
  </si>
  <si>
    <t>Allophyllus africanus</t>
  </si>
  <si>
    <t>Amburana cearensis</t>
  </si>
  <si>
    <t>Amoora sp.</t>
  </si>
  <si>
    <t>Anacardium giganteum</t>
  </si>
  <si>
    <t>Andira inermis</t>
  </si>
  <si>
    <t>Andira parviflora</t>
  </si>
  <si>
    <t>Aniba amazonica</t>
  </si>
  <si>
    <t>0.52-0.56</t>
  </si>
  <si>
    <t>Aniba canelilla</t>
  </si>
  <si>
    <t>Aningeria robusta</t>
  </si>
  <si>
    <t>0.44-0.53</t>
  </si>
  <si>
    <t>Anisoptera sp.</t>
  </si>
  <si>
    <t>0.78-0.79</t>
  </si>
  <si>
    <t>0.33-0.36</t>
  </si>
  <si>
    <t>Antiaris sp.</t>
  </si>
  <si>
    <t>Apeiba aspera</t>
  </si>
  <si>
    <t>Apeiba peiouma</t>
  </si>
  <si>
    <t>Apuleia leiocarpa</t>
  </si>
  <si>
    <t>Apuleia molaris</t>
  </si>
  <si>
    <t>Ardisia cubana</t>
  </si>
  <si>
    <t>Artocarpus sp.</t>
  </si>
  <si>
    <t>Aspidosperma album</t>
  </si>
  <si>
    <t>Aspidosperma macrocarpon</t>
  </si>
  <si>
    <t>Aspidosperma obscurinervium</t>
  </si>
  <si>
    <t>Astronium gracile</t>
  </si>
  <si>
    <t>Astronium graveolens</t>
  </si>
  <si>
    <t>Astronium ulei</t>
  </si>
  <si>
    <t>Astronium urundeuva</t>
  </si>
  <si>
    <t>0.31-0.48</t>
  </si>
  <si>
    <t>Azadirachta sp.</t>
  </si>
  <si>
    <t>Balanocarpus sp.</t>
  </si>
  <si>
    <t>Barringtonia edulis</t>
  </si>
  <si>
    <t>Bauhinia sp.</t>
  </si>
  <si>
    <t>Berlinia sp.</t>
  </si>
  <si>
    <t>Bertholletia excelsa</t>
  </si>
  <si>
    <t>0.54-0.62</t>
  </si>
  <si>
    <t>Bocoa sp.</t>
  </si>
  <si>
    <t>Bombacopsis quinata</t>
  </si>
  <si>
    <t>Bombax costatum</t>
  </si>
  <si>
    <t>Bombax paraense</t>
  </si>
  <si>
    <t>Bowdichia coccolobifolia</t>
  </si>
  <si>
    <t>Bowdichia crassifolia</t>
  </si>
  <si>
    <t>Bowdichia nitida</t>
  </si>
  <si>
    <t>Bowdichia virgilioides</t>
  </si>
  <si>
    <t>Brachystegia sp.</t>
  </si>
  <si>
    <t>Brosimum acutifolium</t>
  </si>
  <si>
    <t>Brosimum alicastrum</t>
  </si>
  <si>
    <t>Brosimum guianense</t>
  </si>
  <si>
    <t>Brosimum lactescens</t>
  </si>
  <si>
    <t>Brosimum parinarioides</t>
  </si>
  <si>
    <t>Brosimum potabile</t>
  </si>
  <si>
    <t>Brosimum rubescens</t>
  </si>
  <si>
    <t>0.40-0.49</t>
  </si>
  <si>
    <t>Buchenavia capitata</t>
  </si>
  <si>
    <t>Buchenavia huberi</t>
  </si>
  <si>
    <t>Buchenavia latifolia</t>
  </si>
  <si>
    <t>Buchenavia oxycarpa</t>
  </si>
  <si>
    <t>Buchenavia viridiflora</t>
  </si>
  <si>
    <t>0.29-0.34</t>
  </si>
  <si>
    <t>Byrsonima spicata</t>
  </si>
  <si>
    <t>Byrsonima verbascifolia</t>
  </si>
  <si>
    <t>Cabralea canjerana</t>
  </si>
  <si>
    <t>Caesalpinia sp.</t>
  </si>
  <si>
    <t>Calophyllum brasiliense</t>
  </si>
  <si>
    <t>Calycophyllum spruceanum</t>
  </si>
  <si>
    <t>Canarium sp.</t>
  </si>
  <si>
    <t>Carapa guianensis</t>
  </si>
  <si>
    <t>Cariniana integrifolia</t>
  </si>
  <si>
    <t>Cariniana micrantha</t>
  </si>
  <si>
    <t>Caryocar glabrum</t>
  </si>
  <si>
    <t>Caryocar villosum</t>
  </si>
  <si>
    <t>Cassia scleroxylon</t>
  </si>
  <si>
    <t>Catostemma commune</t>
  </si>
  <si>
    <t>Cecropia sp.</t>
  </si>
  <si>
    <t>Cedrela sp.</t>
  </si>
  <si>
    <t>0.40-0.46</t>
  </si>
  <si>
    <t>0.18-0.39</t>
  </si>
  <si>
    <t>Ceiba samauma</t>
  </si>
  <si>
    <t>Celtis schippii</t>
  </si>
  <si>
    <t>Celtis sp.</t>
  </si>
  <si>
    <t>Centrolobium sp.</t>
  </si>
  <si>
    <t>Cespedesia spathulata</t>
  </si>
  <si>
    <t>Chlorophora excelsa</t>
  </si>
  <si>
    <t>0.48-0.66</t>
  </si>
  <si>
    <t>0.76-0.80</t>
  </si>
  <si>
    <t>Chorisia integrifolia</t>
  </si>
  <si>
    <t>Cleistocalyx sp.</t>
  </si>
  <si>
    <t>Cochlospermum gossypium</t>
  </si>
  <si>
    <t>Copaifera officinalis</t>
  </si>
  <si>
    <t>Copaifera pubifora</t>
  </si>
  <si>
    <t>Copaifera religiosa</t>
  </si>
  <si>
    <t>Copaifera reticulata</t>
  </si>
  <si>
    <t>Cordia alliodora</t>
  </si>
  <si>
    <t>Cordia bicolor</t>
  </si>
  <si>
    <t>Cordia gerascanthus</t>
  </si>
  <si>
    <t>Cordia goeldiana</t>
  </si>
  <si>
    <t>Cordia sagotii</t>
  </si>
  <si>
    <t>Cordia sp.</t>
  </si>
  <si>
    <t>Corythophora rimosa</t>
  </si>
  <si>
    <t>Cotylelobium sp.</t>
  </si>
  <si>
    <t>Couratari guianensis</t>
  </si>
  <si>
    <t>Couratari multiflora</t>
  </si>
  <si>
    <t>Couratari oblongifolia</t>
  </si>
  <si>
    <t>Couratari stellata</t>
  </si>
  <si>
    <t>Cryptocarya sp.</t>
  </si>
  <si>
    <t>0.43-0.44</t>
  </si>
  <si>
    <t>Curatella americana</t>
  </si>
  <si>
    <t>Cynometra sp.</t>
  </si>
  <si>
    <t>0.45-0.47</t>
  </si>
  <si>
    <t>Dacrydium sp.</t>
  </si>
  <si>
    <t>Dacryodes buttneri</t>
  </si>
  <si>
    <t>0.44-0.57</t>
  </si>
  <si>
    <t>0.52-0.53</t>
  </si>
  <si>
    <t>Dacryodes sp.</t>
  </si>
  <si>
    <t>Daniellia oliveri</t>
  </si>
  <si>
    <t>Dendropanax arboreum</t>
  </si>
  <si>
    <t>Dialium guianense</t>
  </si>
  <si>
    <t>Dialium sp.</t>
  </si>
  <si>
    <t>Dialyanthera sp.</t>
  </si>
  <si>
    <t>0.36-0.48</t>
  </si>
  <si>
    <t>Diclinanona calycina</t>
  </si>
  <si>
    <t>Dicorynia ghuianensis</t>
  </si>
  <si>
    <t>Dillenia sp.</t>
  </si>
  <si>
    <t>Dinizia excelsa</t>
  </si>
  <si>
    <t>Diospyros sp.</t>
  </si>
  <si>
    <t>Diploon cuspidatum</t>
  </si>
  <si>
    <t>Diplotropis martiusii</t>
  </si>
  <si>
    <t>Dipterocarpus sp.</t>
  </si>
  <si>
    <t>Dipteryx odorata</t>
  </si>
  <si>
    <t>Dipteryx polyphylla</t>
  </si>
  <si>
    <t>Dracontomelon sp.</t>
  </si>
  <si>
    <t>Dryobalanops sp.</t>
  </si>
  <si>
    <t>Durio sp.</t>
  </si>
  <si>
    <t>Ecclinusa bacuri</t>
  </si>
  <si>
    <t>Endlicheria sp.</t>
  </si>
  <si>
    <t>Endopleura uchi</t>
  </si>
  <si>
    <t>Endospermum sp.</t>
  </si>
  <si>
    <t>0.53-0.62</t>
  </si>
  <si>
    <t>Enterolobium maximum</t>
  </si>
  <si>
    <t>Eperua falcata</t>
  </si>
  <si>
    <t>Eriotheca longipedicellata</t>
  </si>
  <si>
    <t>0.70-0.88</t>
  </si>
  <si>
    <t>Eschweilera amazonica</t>
  </si>
  <si>
    <t>Eschweilera coriacea</t>
  </si>
  <si>
    <t>Eschweilera ovata</t>
  </si>
  <si>
    <t>Eschweilera sagotiana</t>
  </si>
  <si>
    <t>Eugenia sp.</t>
  </si>
  <si>
    <t>Fagara sp.</t>
  </si>
  <si>
    <t>Fagraea sp.</t>
  </si>
  <si>
    <t>Ficus insipida</t>
  </si>
  <si>
    <t>Gallesia integrifolia</t>
  </si>
  <si>
    <t>Gambeya sp.</t>
  </si>
  <si>
    <t>Garcinia sp.</t>
  </si>
  <si>
    <t>Genipa americana</t>
  </si>
  <si>
    <t>Gluta sp.</t>
  </si>
  <si>
    <t>Glycydendron amazonicum</t>
  </si>
  <si>
    <t>0.41-0.45</t>
  </si>
  <si>
    <t>Guarea cedrata</t>
  </si>
  <si>
    <t>0.48-0.57</t>
  </si>
  <si>
    <t>Guarea guidonia</t>
  </si>
  <si>
    <t>Guarea kunthiana</t>
  </si>
  <si>
    <t>Guatteria decurrens</t>
  </si>
  <si>
    <t>Guatteria olivacea</t>
  </si>
  <si>
    <t>Guatteria procera</t>
  </si>
  <si>
    <t>0.50-0.52</t>
  </si>
  <si>
    <t>Guibourtia demeusii</t>
  </si>
  <si>
    <t>0.70-0.84</t>
  </si>
  <si>
    <t>0.95-1.25</t>
  </si>
  <si>
    <t>Gustavia speciosa</t>
  </si>
  <si>
    <t>Heritiera sp.</t>
  </si>
  <si>
    <t>Hieronyma chocoensis</t>
  </si>
  <si>
    <t>0.59-0.62</t>
  </si>
  <si>
    <t>Hieronyma laxiflora</t>
  </si>
  <si>
    <t>Himatanthus articulatus</t>
  </si>
  <si>
    <t>Homalium sp.</t>
  </si>
  <si>
    <t>Hopea sp.</t>
  </si>
  <si>
    <t>Huberodendron patinoi</t>
  </si>
  <si>
    <t>Humiriastrum excelsum</t>
  </si>
  <si>
    <t>Hylodendron gabonense</t>
  </si>
  <si>
    <t>Hymenaea courbaril</t>
  </si>
  <si>
    <t>Hymenaea oblongifolia</t>
  </si>
  <si>
    <t>Hymenaea parvifolia</t>
  </si>
  <si>
    <t>Hymenolobium excelsum</t>
  </si>
  <si>
    <t>Hymenolobium modestum</t>
  </si>
  <si>
    <t>Hymenolobium pulcherrimum</t>
  </si>
  <si>
    <t>Inga alba</t>
  </si>
  <si>
    <t>Inga edulis</t>
  </si>
  <si>
    <t>Inga paraensis</t>
  </si>
  <si>
    <t>Iryanthera grandis</t>
  </si>
  <si>
    <t>Iryanthera sagotiana</t>
  </si>
  <si>
    <t>Iryanthera trocornis</t>
  </si>
  <si>
    <t>Jacaranda copaia</t>
  </si>
  <si>
    <t>0.40-0.48</t>
  </si>
  <si>
    <t>Kingiodendron alternifolium</t>
  </si>
  <si>
    <t>Kleinhovia hospita</t>
  </si>
  <si>
    <t>Knema sp.</t>
  </si>
  <si>
    <t>Koompassia excelsa</t>
  </si>
  <si>
    <t>Koordersiodendron pinnatum</t>
  </si>
  <si>
    <t>0.65-0.69</t>
  </si>
  <si>
    <t>Kydia calycina</t>
  </si>
  <si>
    <t>Lagerstroemia sp.</t>
  </si>
  <si>
    <t>Lannea grandis</t>
  </si>
  <si>
    <t>Lecythis idatimon</t>
  </si>
  <si>
    <t>Lecythis lurida</t>
  </si>
  <si>
    <t>Lecythis pisonis</t>
  </si>
  <si>
    <t>Lecythis poltequi</t>
  </si>
  <si>
    <t>Lecythis zabucaja</t>
  </si>
  <si>
    <t>Leucaena leucocephala</t>
  </si>
  <si>
    <t>Licania macrophylla</t>
  </si>
  <si>
    <t>Licania oblongifolia</t>
  </si>
  <si>
    <t>Licania octandra</t>
  </si>
  <si>
    <t>Licania unguiculata</t>
  </si>
  <si>
    <t>Licaria aritu</t>
  </si>
  <si>
    <t>Licaria cannella</t>
  </si>
  <si>
    <t>Licaria rigida</t>
  </si>
  <si>
    <t>Lithocarpus soleriana</t>
  </si>
  <si>
    <t>Litsea sp.</t>
  </si>
  <si>
    <t>Lonchocarpus sp.</t>
  </si>
  <si>
    <t>0.84-0.97</t>
  </si>
  <si>
    <t>Lophopetalum sp.</t>
  </si>
  <si>
    <t>Lucuma sp.</t>
  </si>
  <si>
    <t>Luehea sp.</t>
  </si>
  <si>
    <t>Macaranga denticulata</t>
  </si>
  <si>
    <t>Machaerium sp.</t>
  </si>
  <si>
    <t>Maclura tinctoria</t>
  </si>
  <si>
    <t>Madhuca oblongifolia</t>
  </si>
  <si>
    <t>Magnolia sp.</t>
  </si>
  <si>
    <t>Malacantha sp.</t>
  </si>
  <si>
    <t>Mallotus philippinensis</t>
  </si>
  <si>
    <t>Malouetia duckei</t>
  </si>
  <si>
    <t>Mangifera sp.</t>
  </si>
  <si>
    <t>Manilkara amazonica</t>
  </si>
  <si>
    <t>Manilkara bidentata</t>
  </si>
  <si>
    <t>Manilkara huberi</t>
  </si>
  <si>
    <t>Maniltoa minor</t>
  </si>
  <si>
    <t>Maquira sclerophylla</t>
  </si>
  <si>
    <t>Marmaroxylon racemosum</t>
  </si>
  <si>
    <t>Mastixia philippinensis</t>
  </si>
  <si>
    <t>Matayba domingensis</t>
  </si>
  <si>
    <t>Matisia hirta</t>
  </si>
  <si>
    <t>Mauria sp.</t>
  </si>
  <si>
    <t>Maytenus sp.</t>
  </si>
  <si>
    <t>Melanorrhea sp.</t>
  </si>
  <si>
    <t>Melia dubia</t>
  </si>
  <si>
    <t>Melicope triphylla</t>
  </si>
  <si>
    <t>Meliosma macrophylla</t>
  </si>
  <si>
    <t>Melochia umbellata</t>
  </si>
  <si>
    <t>Metrosideros collina</t>
  </si>
  <si>
    <t>0.70-0.76</t>
  </si>
  <si>
    <t>Mezilaurus itauba</t>
  </si>
  <si>
    <t>Mezilaurus lindaviana</t>
  </si>
  <si>
    <t>Michelia sp.</t>
  </si>
  <si>
    <t>Michropholis sp.</t>
  </si>
  <si>
    <t>Microcos stylocarpa</t>
  </si>
  <si>
    <t>Micromelum compressum</t>
  </si>
  <si>
    <t>Micropholi guyanensis</t>
  </si>
  <si>
    <t>Micropholi venulosa</t>
  </si>
  <si>
    <t>Milletia sp.</t>
  </si>
  <si>
    <t>Milliusa velutina</t>
  </si>
  <si>
    <t>Mimusops elengi</t>
  </si>
  <si>
    <t>Minquartia guianensis</t>
  </si>
  <si>
    <t>Mitragyna parviflora</t>
  </si>
  <si>
    <t>Monopetalanthus heitzii</t>
  </si>
  <si>
    <t>Mora excelsa</t>
  </si>
  <si>
    <t>Mora gonggrijpii</t>
  </si>
  <si>
    <t>Mora megistosperma</t>
  </si>
  <si>
    <t>Mouriri barinensis</t>
  </si>
  <si>
    <t>Mouriria sideroxylon</t>
  </si>
  <si>
    <t>Myrciaria floribunda</t>
  </si>
  <si>
    <t>Myristica platysperma</t>
  </si>
  <si>
    <t>Myristica sp.</t>
  </si>
  <si>
    <t>Myroxylon balsamum</t>
  </si>
  <si>
    <t>Myroxylon peruiferum</t>
  </si>
  <si>
    <t>Nealchornea yapurensis</t>
  </si>
  <si>
    <t>Nectandra rubra</t>
  </si>
  <si>
    <t>Neesia sp.</t>
  </si>
  <si>
    <t>Neonauclea bernardoi</t>
  </si>
  <si>
    <t>Neotrewia cumingii</t>
  </si>
  <si>
    <t>Ochna foxworthyi</t>
  </si>
  <si>
    <t>Ochroma pyramidale</t>
  </si>
  <si>
    <t>Ocotea guianensis</t>
  </si>
  <si>
    <t>Ocotea neesiana</t>
  </si>
  <si>
    <t>Octomeles sumatrana</t>
  </si>
  <si>
    <t>0.27-0.32</t>
  </si>
  <si>
    <t>Odyendea sp.</t>
  </si>
  <si>
    <t>Onychopetalum amazonicum</t>
  </si>
  <si>
    <t>Ormosia coccinea</t>
  </si>
  <si>
    <t>Ormosia paraensis</t>
  </si>
  <si>
    <t>Ormosia schunkei</t>
  </si>
  <si>
    <t>Oroxylon indicum</t>
  </si>
  <si>
    <t>Otoba gracilipes</t>
  </si>
  <si>
    <t>Ougenia dalbergiodes</t>
  </si>
  <si>
    <t>Ouratea sp.</t>
  </si>
  <si>
    <t>Pachira acuatica</t>
  </si>
  <si>
    <t>Palaquium sp.</t>
  </si>
  <si>
    <t>Pangium edule</t>
  </si>
  <si>
    <t>Parashorea stellata</t>
  </si>
  <si>
    <t>Paratecoma peroba</t>
  </si>
  <si>
    <t>Paratrophis glabra</t>
  </si>
  <si>
    <t>Parinari excelsa</t>
  </si>
  <si>
    <t>Parinari montana</t>
  </si>
  <si>
    <t>Parinari rodolphii</t>
  </si>
  <si>
    <t>Parinari sp.</t>
  </si>
  <si>
    <t>Parkia multijuga</t>
  </si>
  <si>
    <t>Parkia nitada</t>
  </si>
  <si>
    <t>Parkia paraensis</t>
  </si>
  <si>
    <t>Parkia pendula</t>
  </si>
  <si>
    <t>Parkia ulei</t>
  </si>
  <si>
    <t>Pausandra trianae</t>
  </si>
  <si>
    <t>Pausinystalia sp.</t>
  </si>
  <si>
    <t>Payena sp.</t>
  </si>
  <si>
    <t>Peltogyne paniculata</t>
  </si>
  <si>
    <t>Peltogyne paradoxa</t>
  </si>
  <si>
    <t>Peltogyne porphyrocardia</t>
  </si>
  <si>
    <t>Pentace sp.</t>
  </si>
  <si>
    <t>Pentaclethra macroloba</t>
  </si>
  <si>
    <t>Persea sp.</t>
  </si>
  <si>
    <t>0.40-0.52</t>
  </si>
  <si>
    <t>Peru glabrata</t>
  </si>
  <si>
    <t>Peru schomburgkiana</t>
  </si>
  <si>
    <t>Petitia domingensis</t>
  </si>
  <si>
    <t>Phyllostylon brasiliensis</t>
  </si>
  <si>
    <t>0.47-0.48</t>
  </si>
  <si>
    <t>Pinus oocarpa</t>
  </si>
  <si>
    <t>Pinus patula</t>
  </si>
  <si>
    <t>Piptadenia communis</t>
  </si>
  <si>
    <t>Piptadenia grata</t>
  </si>
  <si>
    <t>Piptadenia suaveolens</t>
  </si>
  <si>
    <t>Piratinera guianensis</t>
  </si>
  <si>
    <t>Pithecellobium guachapele</t>
  </si>
  <si>
    <t>Pithecellobium latifolium</t>
  </si>
  <si>
    <t>Pithecellobium saman</t>
  </si>
  <si>
    <t>Plagiostyles africana</t>
  </si>
  <si>
    <t>Planchonia sp.</t>
  </si>
  <si>
    <t>Platonia insignis</t>
  </si>
  <si>
    <t>Platymiscium sp.</t>
  </si>
  <si>
    <t>0.71-0.84</t>
  </si>
  <si>
    <t>Podocarpus oleifolius</t>
  </si>
  <si>
    <t>Podocarpus rospigliosii</t>
  </si>
  <si>
    <t>Podocarpus sp.</t>
  </si>
  <si>
    <t>Poga oleosa</t>
  </si>
  <si>
    <t>Polyalthia suaveolens</t>
  </si>
  <si>
    <t>Pometia sp.</t>
  </si>
  <si>
    <t>Poulsenia armata</t>
  </si>
  <si>
    <t>0.37-0.44</t>
  </si>
  <si>
    <t>Pourouma sp.</t>
  </si>
  <si>
    <t>Pouteria anibifolia</t>
  </si>
  <si>
    <t>Pouteria anomala</t>
  </si>
  <si>
    <t>Pouteria caimito</t>
  </si>
  <si>
    <t>Pouteria guianensis</t>
  </si>
  <si>
    <t>Pouteria manaosensis</t>
  </si>
  <si>
    <t>Pouteria oppositifolia</t>
  </si>
  <si>
    <t>Premna angolensis</t>
  </si>
  <si>
    <t>Prioria copaifera</t>
  </si>
  <si>
    <t>0.40-0.41</t>
  </si>
  <si>
    <t>Protium heptaphyllum</t>
  </si>
  <si>
    <t>Protium tenuifolium</t>
  </si>
  <si>
    <t>Pseudolmedia laevigata</t>
  </si>
  <si>
    <t>0.62-0.63</t>
  </si>
  <si>
    <t>Pseudolmedia laevis</t>
  </si>
  <si>
    <t>Pteleopsis hylodendron</t>
  </si>
  <si>
    <t>Pterocarpus soyauxii</t>
  </si>
  <si>
    <t>0.62-0.79</t>
  </si>
  <si>
    <t>Pterocarpus vernalis</t>
  </si>
  <si>
    <t>Pterogyne nitens</t>
  </si>
  <si>
    <t>Pterygota sp.</t>
  </si>
  <si>
    <t>Pycnanthus angolensis</t>
  </si>
  <si>
    <t>0.40-0.53</t>
  </si>
  <si>
    <t>Qualea albiflora</t>
  </si>
  <si>
    <t>Qualea brevipedicellata</t>
  </si>
  <si>
    <t>Qualea dinizii</t>
  </si>
  <si>
    <t>Qualea lancifolia</t>
  </si>
  <si>
    <t>Qualea paraensis</t>
  </si>
  <si>
    <t>Quararibea asterolepis</t>
  </si>
  <si>
    <t>Quararibea bicolor</t>
  </si>
  <si>
    <t>Quararibea cordata</t>
  </si>
  <si>
    <t>Quassia simarouba</t>
  </si>
  <si>
    <t>Quercus sp.</t>
  </si>
  <si>
    <t>Randia cladantha</t>
  </si>
  <si>
    <t>Rauwolfia macrophylla</t>
  </si>
  <si>
    <t>Rheedia sp.</t>
  </si>
  <si>
    <t>Rhizophora mangle</t>
  </si>
  <si>
    <t>Ricinodendron heudelotii</t>
  </si>
  <si>
    <t>Rollinia exsucca</t>
  </si>
  <si>
    <t>Roupala moniana</t>
  </si>
  <si>
    <t>Ruizierania albiflora</t>
  </si>
  <si>
    <t>Saccoglottis gabonensis</t>
  </si>
  <si>
    <t>Saccoglottis guianensis</t>
  </si>
  <si>
    <t>0.32-0.33</t>
  </si>
  <si>
    <t>0.45-0.46</t>
  </si>
  <si>
    <t>Santiria trimera</t>
  </si>
  <si>
    <t>Sapium ellipticum</t>
  </si>
  <si>
    <t>Sapium marmieri</t>
  </si>
  <si>
    <t>Schefflera morototoni</t>
  </si>
  <si>
    <t>Schizolobium parahyba</t>
  </si>
  <si>
    <t>Schrebera arborea</t>
  </si>
  <si>
    <t>Sclerolobium chrysopyllum</t>
  </si>
  <si>
    <t>Sclerolobium paraense</t>
  </si>
  <si>
    <t>Sclerolobium peoppigianum</t>
  </si>
  <si>
    <t>Scleronema micranthum</t>
  </si>
  <si>
    <t>Sclorodophloeus zenkeri</t>
  </si>
  <si>
    <t>Scottellia coriacea</t>
  </si>
  <si>
    <t>Scyphocephalium ochocoa</t>
  </si>
  <si>
    <t>Scytopetalum tieghemii</t>
  </si>
  <si>
    <t>Shorea assamica formaphilippinensis</t>
  </si>
  <si>
    <t>Shorea sp. (balau)</t>
  </si>
  <si>
    <t>Shorea sp. (dark red meranti)</t>
  </si>
  <si>
    <t>Shorea sp. (light red meranti)</t>
  </si>
  <si>
    <t>Sickingia sp.</t>
  </si>
  <si>
    <t>Simira sp.</t>
  </si>
  <si>
    <t>Sindoropsis letestui</t>
  </si>
  <si>
    <t>Sloanea nitida</t>
  </si>
  <si>
    <t>Spondias lutea</t>
  </si>
  <si>
    <t>0.31-0.35</t>
  </si>
  <si>
    <t>Spondias purpurea</t>
  </si>
  <si>
    <t>Staudtia stipitata</t>
  </si>
  <si>
    <t>Sterculia apetala</t>
  </si>
  <si>
    <t>Sterculia pruriens</t>
  </si>
  <si>
    <t>Sterculia rhinopetala</t>
  </si>
  <si>
    <t>Sterculia speciosa</t>
  </si>
  <si>
    <t>Strephonema pseudocola</t>
  </si>
  <si>
    <t>Strombosiopsis tetrandra</t>
  </si>
  <si>
    <t>Stylogyne sp.</t>
  </si>
  <si>
    <t>Swartzia fistuloides</t>
  </si>
  <si>
    <t>Swartzia laevicarpa</t>
  </si>
  <si>
    <t>Swartzia panacoco</t>
  </si>
  <si>
    <t>0.49-0.53</t>
  </si>
  <si>
    <t>Swintonia sp.</t>
  </si>
  <si>
    <t>Syzygium cordatum</t>
  </si>
  <si>
    <t>Syzygium sp.</t>
  </si>
  <si>
    <t>0.69-0.76</t>
  </si>
  <si>
    <t>Tabebuia rosea</t>
  </si>
  <si>
    <t>Tabebuia serratifolia</t>
  </si>
  <si>
    <t>0.55-0.57</t>
  </si>
  <si>
    <t>Taralea oppositifolia</t>
  </si>
  <si>
    <t>0.50-0.55</t>
  </si>
  <si>
    <t>Terminalia amazonica</t>
  </si>
  <si>
    <t>Terminalia ivorensis</t>
  </si>
  <si>
    <t>0.40-0.59</t>
  </si>
  <si>
    <t>Terminalia oblonga</t>
  </si>
  <si>
    <t>Terminalia superba</t>
  </si>
  <si>
    <t>0.40-0.66</t>
  </si>
  <si>
    <t>0.73-0.77</t>
  </si>
  <si>
    <t>Tessmania africana</t>
  </si>
  <si>
    <t>Testulea gabonensis</t>
  </si>
  <si>
    <t>Tetragastris altissima</t>
  </si>
  <si>
    <t>Tetragastris panamensis</t>
  </si>
  <si>
    <t>Tetrapleura tetraptera</t>
  </si>
  <si>
    <t>Thyrsodium guianensis</t>
  </si>
  <si>
    <t>Tieghemella africana</t>
  </si>
  <si>
    <t>0.53-0.66</t>
  </si>
  <si>
    <t>Trema sp.</t>
  </si>
  <si>
    <t>Trichilia lecointei</t>
  </si>
  <si>
    <t>Trichilia prieureana</t>
  </si>
  <si>
    <t>Trichoscypha arborea</t>
  </si>
  <si>
    <t>Triplaris cumingiana</t>
  </si>
  <si>
    <t>Triplochiton scleroxylon.</t>
  </si>
  <si>
    <t>0.28-0.44</t>
  </si>
  <si>
    <t>Tristania sp.</t>
  </si>
  <si>
    <t>Vantanea parviflora</t>
  </si>
  <si>
    <t>Vatairea guianensis</t>
  </si>
  <si>
    <t>Vatairea paraensis</t>
  </si>
  <si>
    <t>Vatairea sericea</t>
  </si>
  <si>
    <t>Vatica sp.</t>
  </si>
  <si>
    <t>Vepris undulata</t>
  </si>
  <si>
    <t>Virola michelii</t>
  </si>
  <si>
    <t>Virola reidii</t>
  </si>
  <si>
    <t>Virola sebifera</t>
  </si>
  <si>
    <t>Vismia sp.</t>
  </si>
  <si>
    <t>Vitex doniana</t>
  </si>
  <si>
    <t>Vitex sp.</t>
  </si>
  <si>
    <t>0.52-0.57</t>
  </si>
  <si>
    <t>Vochysia densiflora</t>
  </si>
  <si>
    <t>Vochysia ferruginea</t>
  </si>
  <si>
    <t>Vochysia guianensis</t>
  </si>
  <si>
    <t>Vochysia lanceolata</t>
  </si>
  <si>
    <t>Vochysia macrophylla</t>
  </si>
  <si>
    <t>Vochysia maxima</t>
  </si>
  <si>
    <t>Vochysia melinonii</t>
  </si>
  <si>
    <t>Vochysia obidensis</t>
  </si>
  <si>
    <t>Vochysia surinamensis</t>
  </si>
  <si>
    <t>Xanthoxylum sp.</t>
  </si>
  <si>
    <t>0.73-0.81</t>
  </si>
  <si>
    <t>Xylopia nitida</t>
  </si>
  <si>
    <t>Xylopia staudtii</t>
  </si>
  <si>
    <t>Zizyphus sp.</t>
  </si>
  <si>
    <t>TROPICAL TREE SPECIES</t>
  </si>
  <si>
    <t>IPCC TABLE 4.13 
BASIC WOOD DENSITY (D) OF TROPICAL TREE SPECIES
(OVEN-DRY TONNES (MOIST M-3))</t>
  </si>
  <si>
    <t>Wood density</t>
  </si>
  <si>
    <t>1 = Dietz, P. 1975; 2 = Knigge, W.; Schulz, H. 1966; 3 = EN 350-2 (1994); 4 = Forest Products Laboratory: Handbook of wood and wood-based materials; 5 = Rijsdijk, J.F.; Laming, P.B. 1994; 6 = Kollmann, F.F.P.; Coté, W.A. 1968</t>
  </si>
  <si>
    <t xml:space="preserve">Wood densities </t>
  </si>
  <si>
    <t>Minimum dbh (cm)</t>
  </si>
  <si>
    <t>BEFs given here represent averages for average growing stock or age, the upper limit of the range represents young forests or forests with low growing stock; lower limits of the range approximate mature forests or those with high growing stock. The values apply to growing stock biomass (dry weight) including bark and for given minimum diameter at breast height; Minimum top diameters and treatment of branches is unspecified. Result is above-ground tree biomass.</t>
  </si>
  <si>
    <t>IPCC TABLE 3A.1.10 DEFAULT VALUES OF BIOMASS EXPANSION FACTORS (BEF)</t>
  </si>
  <si>
    <t>Sources: Isaev et al., 1993; Brown, 1997; Brown and Schroeder, 1999; Schoene, 1999; ECE/FAO TBFRA, 2000; Lowe et al., 2000;
please also refer to FRA Working Paper 68 and 69 for average values for developing countries ( http://www.fao.org/forestry/index.jsp)</t>
  </si>
  <si>
    <t>Carbon stored in wood products</t>
  </si>
  <si>
    <t>Required for monitoring carbon stocks/ stock changes</t>
  </si>
  <si>
    <t>Required for the 
simulation</t>
  </si>
  <si>
    <t>Republic of the Congo</t>
  </si>
  <si>
    <t>Click here for IPCC Default values</t>
  </si>
  <si>
    <t xml:space="preserve">Ecological zone </t>
  </si>
  <si>
    <t xml:space="preserve">Continent </t>
  </si>
  <si>
    <t xml:space="preserve">Above-ground biomass (tonnes d.m. ha-1) </t>
  </si>
  <si>
    <t xml:space="preserve">References </t>
  </si>
  <si>
    <t xml:space="preserve">Tropical </t>
  </si>
  <si>
    <t xml:space="preserve">Tropical rain forest </t>
  </si>
  <si>
    <t xml:space="preserve">Africa </t>
  </si>
  <si>
    <t xml:space="preserve">310 (130-510) </t>
  </si>
  <si>
    <t xml:space="preserve">IPCC, 2003 </t>
  </si>
  <si>
    <t xml:space="preserve">North and South America </t>
  </si>
  <si>
    <t xml:space="preserve">300 (120-400) </t>
  </si>
  <si>
    <t xml:space="preserve">Asia (continental) </t>
  </si>
  <si>
    <t xml:space="preserve">280 (120-680) </t>
  </si>
  <si>
    <t xml:space="preserve">Asia (insular) </t>
  </si>
  <si>
    <t xml:space="preserve">350 (280-520) </t>
  </si>
  <si>
    <t xml:space="preserve">Tropical moist deciduous forest </t>
  </si>
  <si>
    <t xml:space="preserve">260 (160-430) </t>
  </si>
  <si>
    <t xml:space="preserve">220 (210-280) </t>
  </si>
  <si>
    <t xml:space="preserve">180 (10-560) </t>
  </si>
  <si>
    <t xml:space="preserve">Tropical dry forest </t>
  </si>
  <si>
    <t xml:space="preserve">120 (120-130) </t>
  </si>
  <si>
    <t xml:space="preserve">210 (200-410) </t>
  </si>
  <si>
    <t xml:space="preserve">130 (100-160) </t>
  </si>
  <si>
    <t xml:space="preserve">Tropical shrubland </t>
  </si>
  <si>
    <t xml:space="preserve">70 (20-200) </t>
  </si>
  <si>
    <t xml:space="preserve">80 (40-90) </t>
  </si>
  <si>
    <t xml:space="preserve">Tropical mountain systems </t>
  </si>
  <si>
    <t xml:space="preserve">40-190 </t>
  </si>
  <si>
    <t xml:space="preserve">60-230 </t>
  </si>
  <si>
    <t xml:space="preserve">50-220 </t>
  </si>
  <si>
    <t xml:space="preserve">50-360 </t>
  </si>
  <si>
    <t xml:space="preserve">Subtropical </t>
  </si>
  <si>
    <t xml:space="preserve">Subtropical humid forest </t>
  </si>
  <si>
    <t xml:space="preserve">Subtropical dry forest </t>
  </si>
  <si>
    <t xml:space="preserve">Subtropical steppe </t>
  </si>
  <si>
    <t xml:space="preserve">Subtropical mountain systems </t>
  </si>
  <si>
    <t xml:space="preserve">Temperate </t>
  </si>
  <si>
    <t xml:space="preserve">Temperate oceanic forest </t>
  </si>
  <si>
    <t xml:space="preserve">Europe </t>
  </si>
  <si>
    <t xml:space="preserve">North America </t>
  </si>
  <si>
    <t xml:space="preserve">660 (80-1200) </t>
  </si>
  <si>
    <t xml:space="preserve">New Zealand </t>
  </si>
  <si>
    <t xml:space="preserve">360 (210-430) </t>
  </si>
  <si>
    <t xml:space="preserve">South America </t>
  </si>
  <si>
    <t xml:space="preserve">180 (90-310) </t>
  </si>
  <si>
    <t xml:space="preserve">Temperate continental forest </t>
  </si>
  <si>
    <t xml:space="preserve">Asia, Europe (≤20 y) </t>
  </si>
  <si>
    <t xml:space="preserve">Asia, Europe (&gt;20 y) </t>
  </si>
  <si>
    <t xml:space="preserve">120 (20-320) </t>
  </si>
  <si>
    <t xml:space="preserve">North and South America (≤20 y) </t>
  </si>
  <si>
    <t xml:space="preserve">60 (10-130) </t>
  </si>
  <si>
    <t xml:space="preserve">North and South America (&gt;20 y) </t>
  </si>
  <si>
    <t xml:space="preserve">130 (50-200) </t>
  </si>
  <si>
    <t xml:space="preserve">Temperate mountain systems </t>
  </si>
  <si>
    <t xml:space="preserve">100 (20-180) </t>
  </si>
  <si>
    <t xml:space="preserve">130 (20-600) </t>
  </si>
  <si>
    <t xml:space="preserve">50 (20-110) </t>
  </si>
  <si>
    <t xml:space="preserve">130 (40-280) </t>
  </si>
  <si>
    <t xml:space="preserve">Boreal </t>
  </si>
  <si>
    <t xml:space="preserve">Boreal coniferous forest </t>
  </si>
  <si>
    <t xml:space="preserve">Asia, Europe, North America </t>
  </si>
  <si>
    <t>10-90</t>
  </si>
  <si>
    <t xml:space="preserve">Boreal tundra woodland </t>
  </si>
  <si>
    <t xml:space="preserve">Asia, Europe, North America (≤20 y) </t>
  </si>
  <si>
    <t>3-4</t>
  </si>
  <si>
    <t xml:space="preserve">Asia, Europe, North America (&gt;20 y) </t>
  </si>
  <si>
    <t xml:space="preserve">15-20 </t>
  </si>
  <si>
    <t xml:space="preserve">Boreal mountain systems </t>
  </si>
  <si>
    <t>12-15</t>
  </si>
  <si>
    <t xml:space="preserve">40-50 </t>
  </si>
  <si>
    <t xml:space="preserve">IPCC (2006) TABLE 4.7 ABOVE-GROUND BIOMASS IN FORESTS </t>
  </si>
  <si>
    <t>Domain</t>
  </si>
  <si>
    <r>
      <t xml:space="preserve">Baker </t>
    </r>
    <r>
      <rPr>
        <i/>
        <sz val="9"/>
        <color indexed="8"/>
        <rFont val="Verdana"/>
        <family val="2"/>
      </rPr>
      <t>et al</t>
    </r>
    <r>
      <rPr>
        <sz val="9"/>
        <color indexed="8"/>
        <rFont val="Verdana"/>
        <family val="2"/>
      </rPr>
      <t xml:space="preserve">., 2004a;  Hughes </t>
    </r>
    <r>
      <rPr>
        <i/>
        <sz val="9"/>
        <color indexed="8"/>
        <rFont val="Verdana"/>
        <family val="2"/>
      </rPr>
      <t>et al</t>
    </r>
    <r>
      <rPr>
        <sz val="9"/>
        <color indexed="8"/>
        <rFont val="Verdana"/>
        <family val="2"/>
      </rPr>
      <t xml:space="preserve">., 1999 </t>
    </r>
  </si>
  <si>
    <r>
      <t xml:space="preserve">Sebei </t>
    </r>
    <r>
      <rPr>
        <i/>
        <sz val="9"/>
        <color indexed="8"/>
        <rFont val="Verdana"/>
        <family val="2"/>
      </rPr>
      <t>et al</t>
    </r>
    <r>
      <rPr>
        <sz val="9"/>
        <color indexed="8"/>
        <rFont val="Verdana"/>
        <family val="2"/>
      </rPr>
      <t xml:space="preserve">., 2001 </t>
    </r>
  </si>
  <si>
    <r>
      <t xml:space="preserve">Montès </t>
    </r>
    <r>
      <rPr>
        <i/>
        <sz val="9"/>
        <color indexed="8"/>
        <rFont val="Verdana"/>
        <family val="2"/>
      </rPr>
      <t>et al</t>
    </r>
    <r>
      <rPr>
        <sz val="9"/>
        <color indexed="8"/>
        <rFont val="Verdana"/>
        <family val="2"/>
      </rPr>
      <t xml:space="preserve">., 2002 </t>
    </r>
  </si>
  <si>
    <r>
      <t xml:space="preserve">Hessl </t>
    </r>
    <r>
      <rPr>
        <i/>
        <sz val="9"/>
        <color indexed="8"/>
        <rFont val="Verdana"/>
        <family val="2"/>
      </rPr>
      <t>et al</t>
    </r>
    <r>
      <rPr>
        <sz val="9"/>
        <color indexed="8"/>
        <rFont val="Verdana"/>
        <family val="2"/>
      </rPr>
      <t xml:space="preserve">., 2004; Smithwick </t>
    </r>
    <r>
      <rPr>
        <i/>
        <sz val="9"/>
        <color indexed="8"/>
        <rFont val="Verdana"/>
        <family val="2"/>
      </rPr>
      <t>et al</t>
    </r>
    <r>
      <rPr>
        <sz val="9"/>
        <color indexed="8"/>
        <rFont val="Verdana"/>
        <family val="2"/>
      </rPr>
      <t xml:space="preserve">., 2002 </t>
    </r>
  </si>
  <si>
    <r>
      <t xml:space="preserve">Hall </t>
    </r>
    <r>
      <rPr>
        <i/>
        <sz val="9"/>
        <color indexed="8"/>
        <rFont val="Verdana"/>
        <family val="2"/>
      </rPr>
      <t>et al</t>
    </r>
    <r>
      <rPr>
        <sz val="9"/>
        <color indexed="8"/>
        <rFont val="Verdana"/>
        <family val="2"/>
      </rPr>
      <t xml:space="preserve">., 2001 </t>
    </r>
  </si>
  <si>
    <r>
      <t xml:space="preserve">Gayoso and Schlegel, 2003; Battles </t>
    </r>
    <r>
      <rPr>
        <i/>
        <sz val="9"/>
        <color indexed="8"/>
        <rFont val="Verdana"/>
        <family val="2"/>
      </rPr>
      <t>et al</t>
    </r>
    <r>
      <rPr>
        <sz val="9"/>
        <color indexed="8"/>
        <rFont val="Verdana"/>
        <family val="2"/>
      </rPr>
      <t xml:space="preserve">., 2002 </t>
    </r>
  </si>
  <si>
    <r>
      <t xml:space="preserve">Gower </t>
    </r>
    <r>
      <rPr>
        <i/>
        <sz val="9"/>
        <color indexed="8"/>
        <rFont val="Verdana"/>
        <family val="2"/>
      </rPr>
      <t>et al</t>
    </r>
    <r>
      <rPr>
        <sz val="9"/>
        <color indexed="8"/>
        <rFont val="Verdana"/>
        <family val="2"/>
      </rPr>
      <t xml:space="preserve">., 2001 </t>
    </r>
  </si>
  <si>
    <t xml:space="preserve">Aboveground biomass default values </t>
  </si>
  <si>
    <t>Ecological zone</t>
  </si>
  <si>
    <t>Tropical rain forest</t>
  </si>
  <si>
    <t>Africa broadleaf &gt; 20 y</t>
  </si>
  <si>
    <t>IPCC, 2003</t>
  </si>
  <si>
    <t>Africa Pinus sp. &gt; 20 y</t>
  </si>
  <si>
    <t>Americas Eucalyptus sp.</t>
  </si>
  <si>
    <t>Americas Pinus sp.</t>
  </si>
  <si>
    <t>Americas Tectona grandis</t>
  </si>
  <si>
    <t>Americas other broadleaf</t>
  </si>
  <si>
    <t>Asia broadleaf</t>
  </si>
  <si>
    <t>Asia other</t>
  </si>
  <si>
    <t>Tropical moist deciduous forest</t>
  </si>
  <si>
    <t>Tropical dry forest</t>
  </si>
  <si>
    <t>Tropical shrubland</t>
  </si>
  <si>
    <t>Africa broadleaf</t>
  </si>
  <si>
    <t>Tropical mountain systems</t>
  </si>
  <si>
    <t>60-150</t>
  </si>
  <si>
    <t>40-100</t>
  </si>
  <si>
    <t>30-100</t>
  </si>
  <si>
    <t>30-120</t>
  </si>
  <si>
    <t>60-170</t>
  </si>
  <si>
    <t>30-130</t>
  </si>
  <si>
    <t>30-80</t>
  </si>
  <si>
    <t>40-150</t>
  </si>
  <si>
    <t>25-80</t>
  </si>
  <si>
    <t>Subtropical</t>
  </si>
  <si>
    <t>Subtropical humid forest</t>
  </si>
  <si>
    <t>Subtropical dry forest</t>
  </si>
  <si>
    <t>Subtropical steppe</t>
  </si>
  <si>
    <t>Asia broadleaf &gt; 20 y</t>
  </si>
  <si>
    <t>Asia coniferous &gt; 20 y</t>
  </si>
  <si>
    <t>100-120</t>
  </si>
  <si>
    <t>Subtropical mountain systems</t>
  </si>
  <si>
    <t>Temperate oceanic forest</t>
  </si>
  <si>
    <t>150-250</t>
  </si>
  <si>
    <t>North America</t>
  </si>
  <si>
    <t>50-300</t>
  </si>
  <si>
    <t>150-350</t>
  </si>
  <si>
    <t>South America</t>
  </si>
  <si>
    <t>90-120</t>
  </si>
  <si>
    <t>Temperate continental forest and mountain systems</t>
  </si>
  <si>
    <t>150-200</t>
  </si>
  <si>
    <t>25-30</t>
  </si>
  <si>
    <t>Boreal coniferous forest and mountain systems</t>
  </si>
  <si>
    <t>Asia, Europe &gt; 20 y</t>
  </si>
  <si>
    <t>40-50</t>
  </si>
  <si>
    <t>IPCC (2006) TABLE 4.8
ABOVE-GROUND BIOMASS IN FOREST PLANTATIONS</t>
  </si>
  <si>
    <t>Africa broadleaf ≤ 20 y</t>
  </si>
  <si>
    <t>Africa Pinus sp. ≤ 20 y</t>
  </si>
  <si>
    <t>Asia broadleaf ≤ 20 y</t>
  </si>
  <si>
    <t>Asia coniferous ≤ 20 y</t>
  </si>
  <si>
    <t>Asia, Europe ≤ 20 y</t>
  </si>
  <si>
    <t>Asia, Europe, broadleaf &gt; 20 y</t>
  </si>
  <si>
    <t>Asia, Europe, broadleaf ≤ 20 y</t>
  </si>
  <si>
    <t>Asia, Europe, coniferous &gt; 20 y</t>
  </si>
  <si>
    <t>Asia, Europe, coniferous ≤ 20 y</t>
  </si>
  <si>
    <t>and Hollinger, 1997; Hall, 2001</t>
  </si>
  <si>
    <t>10-40.</t>
  </si>
  <si>
    <r>
      <t xml:space="preserve">Kraenzel </t>
    </r>
    <r>
      <rPr>
        <i/>
        <sz val="9"/>
        <rFont val="Verdana"/>
        <family val="2"/>
      </rPr>
      <t>et al</t>
    </r>
    <r>
      <rPr>
        <sz val="9"/>
        <rFont val="Verdana"/>
        <family val="2"/>
      </rPr>
      <t>., 2003</t>
    </r>
  </si>
  <si>
    <r>
      <t xml:space="preserve">Stape </t>
    </r>
    <r>
      <rPr>
        <i/>
        <sz val="9"/>
        <rFont val="Verdana"/>
        <family val="2"/>
      </rPr>
      <t>et al</t>
    </r>
    <r>
      <rPr>
        <sz val="9"/>
        <rFont val="Verdana"/>
        <family val="2"/>
      </rPr>
      <t>., 2004</t>
    </r>
  </si>
  <si>
    <t xml:space="preserve">
</t>
  </si>
  <si>
    <t>b. ASIA</t>
  </si>
  <si>
    <t>c. OCEANIA</t>
  </si>
  <si>
    <t>d. EUROPE</t>
  </si>
  <si>
    <t>e. NORTH AND CENTRAL AMERICA</t>
  </si>
  <si>
    <t>f. SOUTH AMERICA</t>
  </si>
  <si>
    <t xml:space="preserve">Annual fossil fuel consumption </t>
  </si>
  <si>
    <t xml:space="preserve">Application of fertilizers </t>
  </si>
  <si>
    <t xml:space="preserve">Carbon stock results </t>
  </si>
  <si>
    <r>
      <t>Fossil fuel emissions diesel (tCO</t>
    </r>
    <r>
      <rPr>
        <b/>
        <vertAlign val="subscript"/>
        <sz val="11"/>
        <color theme="0"/>
        <rFont val="Calibri"/>
        <family val="2"/>
        <scheme val="minor"/>
      </rPr>
      <t>2</t>
    </r>
    <r>
      <rPr>
        <b/>
        <sz val="11"/>
        <color theme="0"/>
        <rFont val="Calibri"/>
        <family val="2"/>
        <scheme val="minor"/>
      </rPr>
      <t>e)</t>
    </r>
  </si>
  <si>
    <r>
      <t>Fossil fuel emissions gasoline (tCO</t>
    </r>
    <r>
      <rPr>
        <b/>
        <vertAlign val="subscript"/>
        <sz val="11"/>
        <color theme="0"/>
        <rFont val="Calibri"/>
        <family val="2"/>
        <scheme val="minor"/>
      </rPr>
      <t>2</t>
    </r>
    <r>
      <rPr>
        <b/>
        <sz val="11"/>
        <color theme="0"/>
        <rFont val="Calibri"/>
        <family val="2"/>
        <scheme val="minor"/>
      </rPr>
      <t>e)</t>
    </r>
  </si>
  <si>
    <r>
      <t>Total GHG emissions fertilizer
(t CO</t>
    </r>
    <r>
      <rPr>
        <b/>
        <vertAlign val="subscript"/>
        <sz val="11"/>
        <color theme="0"/>
        <rFont val="Calibri"/>
        <family val="2"/>
        <scheme val="minor"/>
      </rPr>
      <t>2</t>
    </r>
    <r>
      <rPr>
        <b/>
        <sz val="11"/>
        <color theme="0"/>
        <rFont val="Calibri"/>
        <family val="2"/>
        <scheme val="minor"/>
      </rPr>
      <t>e)</t>
    </r>
  </si>
  <si>
    <t>Total area of the project (ha)</t>
  </si>
  <si>
    <t>Total area inventory tab (ha)</t>
  </si>
  <si>
    <t>Emissions: Synthetic Fertilizer per t yr and ha</t>
  </si>
  <si>
    <t xml:space="preserve">Sum Emissions Stratum: Synthetic Fertilizer t per yr </t>
  </si>
  <si>
    <t>Emissions Organic Fertilizer per t yr and ha</t>
  </si>
  <si>
    <t>Sum Emissions Stratum: Emissions Organic Fertilizer t per year</t>
  </si>
  <si>
    <t>Total forest carbon stocks FMU (tCO2e)</t>
  </si>
  <si>
    <t>Density * Volume*BEF</t>
  </si>
  <si>
    <t>CF tree</t>
  </si>
  <si>
    <t>Model number</t>
  </si>
  <si>
    <t>Simulation period</t>
  </si>
  <si>
    <t>Calculate carbon every</t>
  </si>
  <si>
    <t>Last year of balance</t>
  </si>
  <si>
    <r>
      <t>Emissions inorganic fertilizer 
(t CO</t>
    </r>
    <r>
      <rPr>
        <b/>
        <vertAlign val="subscript"/>
        <sz val="11"/>
        <color theme="0"/>
        <rFont val="Calibri"/>
        <family val="2"/>
        <scheme val="minor"/>
      </rPr>
      <t>2</t>
    </r>
    <r>
      <rPr>
        <b/>
        <sz val="11"/>
        <color theme="0"/>
        <rFont val="Calibri"/>
        <family val="2"/>
        <scheme val="minor"/>
      </rPr>
      <t>e)</t>
    </r>
  </si>
  <si>
    <r>
      <t>Emissions organic fertilizer 
(t CO</t>
    </r>
    <r>
      <rPr>
        <b/>
        <vertAlign val="subscript"/>
        <sz val="11"/>
        <color theme="0"/>
        <rFont val="Calibri"/>
        <family val="2"/>
        <scheme val="minor"/>
      </rPr>
      <t>2</t>
    </r>
    <r>
      <rPr>
        <b/>
        <sz val="11"/>
        <color theme="0"/>
        <rFont val="Calibri"/>
        <family val="2"/>
        <scheme val="minor"/>
      </rPr>
      <t>e)</t>
    </r>
  </si>
  <si>
    <t>Sum of Carbon stocks trees (tCO2e)</t>
  </si>
  <si>
    <t>Sum of Carbon stocks shrubs (tCO2e)</t>
  </si>
  <si>
    <t>Sum of Carbon stocks dead wood (tCO2e)</t>
  </si>
  <si>
    <t>Sum of Carbon stocks litter (tCO2e)</t>
  </si>
  <si>
    <t>Sum of Stratum area (ha)</t>
  </si>
  <si>
    <t xml:space="preserve">This sheet is unprotected! </t>
  </si>
  <si>
    <t>IPCC aboveground biomass default values are given for natural forests and for plantation forests. Please select the most representative value for your FMU if you don't have any local values (regional or country values)</t>
  </si>
  <si>
    <t>Aboveground tree biomass</t>
  </si>
  <si>
    <t xml:space="preserve">Total area in ha </t>
  </si>
  <si>
    <t>Total application rate of fertilizer per stratum per ha</t>
  </si>
  <si>
    <t xml:space="preserve">Total GHG emissions forest management </t>
  </si>
  <si>
    <r>
      <t>Total annual GHG emissions fuel (tCO</t>
    </r>
    <r>
      <rPr>
        <b/>
        <vertAlign val="subscript"/>
        <sz val="11"/>
        <color theme="0"/>
        <rFont val="Calibri"/>
        <family val="2"/>
        <scheme val="minor"/>
      </rPr>
      <t>2</t>
    </r>
    <r>
      <rPr>
        <b/>
        <sz val="11"/>
        <color theme="0"/>
        <rFont val="Calibri"/>
        <family val="2"/>
        <scheme val="minor"/>
      </rPr>
      <t>e)</t>
    </r>
  </si>
  <si>
    <t xml:space="preserve">Age at year of inventory </t>
  </si>
  <si>
    <t>Area per stratum (ha)</t>
  </si>
  <si>
    <r>
      <t>Total carbon stocks (tCO</t>
    </r>
    <r>
      <rPr>
        <b/>
        <vertAlign val="subscript"/>
        <sz val="10"/>
        <color theme="0"/>
        <rFont val="Arial"/>
        <family val="2"/>
      </rPr>
      <t>2</t>
    </r>
    <r>
      <rPr>
        <b/>
        <sz val="10"/>
        <color theme="0"/>
        <rFont val="Arial"/>
        <family val="2"/>
      </rPr>
      <t>e)</t>
    </r>
  </si>
  <si>
    <t>Project area (ha)</t>
  </si>
  <si>
    <r>
      <t>Carbon stock changes (tCO</t>
    </r>
    <r>
      <rPr>
        <b/>
        <vertAlign val="subscript"/>
        <sz val="14"/>
        <color theme="0"/>
        <rFont val="Calibri"/>
        <family val="2"/>
        <scheme val="minor"/>
      </rPr>
      <t>2</t>
    </r>
    <r>
      <rPr>
        <b/>
        <sz val="14"/>
        <color theme="0"/>
        <rFont val="Calibri"/>
        <family val="2"/>
        <scheme val="minor"/>
      </rPr>
      <t xml:space="preserve">e) for the period of  </t>
    </r>
  </si>
  <si>
    <t xml:space="preserve"> Carbon stocks density of trees (t CO2e ha-1)</t>
  </si>
  <si>
    <t xml:space="preserve"> Carbon stocks density of shrubs (t CO2e ha-1)</t>
  </si>
  <si>
    <t xml:space="preserve"> Carbon stocks density of dead wood (t CO2e ha-1)</t>
  </si>
  <si>
    <t xml:space="preserve">  Carbon stocks density of litter (t CO2e ha-1)</t>
  </si>
  <si>
    <r>
      <t>Total forest carbon stocks FMU (tCO</t>
    </r>
    <r>
      <rPr>
        <vertAlign val="subscript"/>
        <sz val="11"/>
        <color theme="0"/>
        <rFont val="Calibri"/>
        <family val="2"/>
        <scheme val="minor"/>
      </rPr>
      <t>2</t>
    </r>
    <r>
      <rPr>
        <sz val="11"/>
        <color theme="0"/>
        <rFont val="Calibri"/>
        <family val="2"/>
        <scheme val="minor"/>
      </rPr>
      <t>e)</t>
    </r>
  </si>
  <si>
    <t>Create simple tree volume growth model</t>
  </si>
  <si>
    <t>Stratum model</t>
  </si>
  <si>
    <t xml:space="preserve">Setting up your simulation </t>
  </si>
  <si>
    <t>Enter the number of models</t>
  </si>
  <si>
    <t>Rotation period</t>
  </si>
  <si>
    <r>
      <t>Total Carbon Balance (tCO</t>
    </r>
    <r>
      <rPr>
        <b/>
        <vertAlign val="subscript"/>
        <sz val="10"/>
        <color theme="0"/>
        <rFont val="Arial"/>
        <family val="2"/>
      </rPr>
      <t>2</t>
    </r>
    <r>
      <rPr>
        <b/>
        <sz val="10"/>
        <color theme="0"/>
        <rFont val="Arial"/>
        <family val="2"/>
      </rPr>
      <t>e)</t>
    </r>
  </si>
  <si>
    <t>Carbon pools</t>
  </si>
  <si>
    <t>Yes</t>
  </si>
  <si>
    <r>
      <t>Carbon stocks trees per stratum (t CO</t>
    </r>
    <r>
      <rPr>
        <b/>
        <vertAlign val="subscript"/>
        <sz val="11"/>
        <color rgb="FFFF0000"/>
        <rFont val="Calibri"/>
        <family val="2"/>
        <scheme val="minor"/>
      </rPr>
      <t>2</t>
    </r>
    <r>
      <rPr>
        <b/>
        <sz val="11"/>
        <color rgb="FFFF0000"/>
        <rFont val="Calibri"/>
        <family val="2"/>
        <scheme val="minor"/>
      </rPr>
      <t>e)</t>
    </r>
  </si>
  <si>
    <r>
      <t>Carbon stocks shrubs per stratum (t CO</t>
    </r>
    <r>
      <rPr>
        <b/>
        <vertAlign val="subscript"/>
        <sz val="11"/>
        <color rgb="FFFF0000"/>
        <rFont val="Calibri"/>
        <family val="2"/>
        <scheme val="minor"/>
      </rPr>
      <t>2</t>
    </r>
    <r>
      <rPr>
        <b/>
        <sz val="11"/>
        <color rgb="FFFF0000"/>
        <rFont val="Calibri"/>
        <family val="2"/>
        <scheme val="minor"/>
      </rPr>
      <t>e)</t>
    </r>
  </si>
  <si>
    <r>
      <t>Carbon stocks dead wood per stratum (t CO</t>
    </r>
    <r>
      <rPr>
        <b/>
        <vertAlign val="subscript"/>
        <sz val="11"/>
        <color rgb="FFFF0000"/>
        <rFont val="Calibri"/>
        <family val="2"/>
        <scheme val="minor"/>
      </rPr>
      <t>2</t>
    </r>
    <r>
      <rPr>
        <b/>
        <sz val="11"/>
        <color rgb="FFFF0000"/>
        <rFont val="Calibri"/>
        <family val="2"/>
        <scheme val="minor"/>
      </rPr>
      <t>e)</t>
    </r>
  </si>
  <si>
    <r>
      <t>Carbon stocks litter per stratum (t CO</t>
    </r>
    <r>
      <rPr>
        <b/>
        <vertAlign val="subscript"/>
        <sz val="11"/>
        <color rgb="FFFF0000"/>
        <rFont val="Calibri"/>
        <family val="2"/>
        <scheme val="minor"/>
      </rPr>
      <t>2</t>
    </r>
    <r>
      <rPr>
        <b/>
        <sz val="11"/>
        <color rgb="FFFF0000"/>
        <rFont val="Calibri"/>
        <family val="2"/>
        <scheme val="minor"/>
      </rPr>
      <t>e)</t>
    </r>
  </si>
  <si>
    <t>Column1</t>
  </si>
  <si>
    <t>Column2</t>
  </si>
  <si>
    <t>Column3</t>
  </si>
  <si>
    <t>Column4</t>
  </si>
  <si>
    <t>Column5</t>
  </si>
  <si>
    <t>Column6</t>
  </si>
  <si>
    <t>conc</t>
  </si>
  <si>
    <r>
      <t>EF</t>
    </r>
    <r>
      <rPr>
        <b/>
        <i/>
        <vertAlign val="subscript"/>
        <sz val="10"/>
        <color rgb="FFFF0000"/>
        <rFont val="Arial"/>
        <family val="2"/>
      </rPr>
      <t>diesel</t>
    </r>
  </si>
  <si>
    <r>
      <t>EF</t>
    </r>
    <r>
      <rPr>
        <b/>
        <i/>
        <vertAlign val="subscript"/>
        <sz val="10"/>
        <color rgb="FFFF0000"/>
        <rFont val="Arial"/>
        <family val="2"/>
      </rPr>
      <t>gasoline</t>
    </r>
  </si>
  <si>
    <t>Org/Inorg</t>
  </si>
  <si>
    <t>unique_year</t>
  </si>
  <si>
    <t>Min of Stratum</t>
  </si>
  <si>
    <t xml:space="preserve">
(dimensionless)]</t>
  </si>
  <si>
    <r>
      <t xml:space="preserve">Carbon fraction
</t>
    </r>
    <r>
      <rPr>
        <b/>
        <sz val="9"/>
        <color rgb="FFFF0000"/>
        <rFont val="Calibri"/>
        <family val="2"/>
        <scheme val="minor"/>
      </rPr>
      <t>(dimensionless)</t>
    </r>
  </si>
  <si>
    <r>
      <t>Wood Density 
(t d.m. m</t>
    </r>
    <r>
      <rPr>
        <b/>
        <vertAlign val="superscript"/>
        <sz val="11"/>
        <color rgb="FFFF0000"/>
        <rFont val="Calibri"/>
        <family val="2"/>
        <scheme val="minor"/>
      </rPr>
      <t>-3</t>
    </r>
    <r>
      <rPr>
        <b/>
        <sz val="11"/>
        <color rgb="FFFF0000"/>
        <rFont val="Calibri"/>
        <family val="2"/>
        <scheme val="minor"/>
      </rPr>
      <t>)</t>
    </r>
  </si>
  <si>
    <r>
      <t>C</t>
    </r>
    <r>
      <rPr>
        <sz val="9"/>
        <color rgb="FFFF0000"/>
        <rFont val="Calibri"/>
        <family val="2"/>
        <scheme val="minor"/>
      </rPr>
      <t>xB,ty,t</t>
    </r>
  </si>
  <si>
    <r>
      <t>Carbon stock sequestered in wood products (tCO</t>
    </r>
    <r>
      <rPr>
        <b/>
        <vertAlign val="subscript"/>
        <sz val="11"/>
        <color rgb="FFFF0000"/>
        <rFont val="Calibri"/>
        <family val="2"/>
        <scheme val="minor"/>
      </rPr>
      <t>2</t>
    </r>
    <r>
      <rPr>
        <b/>
        <sz val="11"/>
        <color rgb="FFFF0000"/>
        <rFont val="Calibri"/>
        <family val="2"/>
        <scheme val="minor"/>
      </rPr>
      <t>e)</t>
    </r>
  </si>
  <si>
    <t>,</t>
  </si>
  <si>
    <t>a. AFRICA</t>
  </si>
  <si>
    <t>Wood Waste default value</t>
  </si>
  <si>
    <t>Algeria</t>
  </si>
  <si>
    <r>
      <t>Carbon stocks
(t CO</t>
    </r>
    <r>
      <rPr>
        <b/>
        <vertAlign val="subscript"/>
        <sz val="11"/>
        <color theme="0"/>
        <rFont val="Calibri"/>
        <family val="2"/>
        <scheme val="minor"/>
      </rPr>
      <t>2</t>
    </r>
    <r>
      <rPr>
        <b/>
        <sz val="11"/>
        <color theme="0"/>
        <rFont val="Calibri"/>
        <family val="2"/>
        <scheme val="minor"/>
      </rPr>
      <t>e)</t>
    </r>
  </si>
  <si>
    <t>inventory data rows count</t>
  </si>
  <si>
    <t>yrs interval</t>
  </si>
  <si>
    <t>Average of Year</t>
  </si>
  <si>
    <t>Year of simulation</t>
  </si>
  <si>
    <t>Inventory year for simulation</t>
  </si>
  <si>
    <t>Do you apply fertilizers within your FMU area?</t>
  </si>
  <si>
    <t xml:space="preserve">This table shows the simulation of average carbon stock densities of the strata selected </t>
  </si>
  <si>
    <t>Private forest</t>
  </si>
  <si>
    <t>Brazil FMU Project</t>
  </si>
  <si>
    <t>Industrial Forest</t>
  </si>
  <si>
    <t>Formula1</t>
  </si>
  <si>
    <t>(t d.m./ha)</t>
  </si>
  <si>
    <r>
      <t>Forest carbon stock density (tCO</t>
    </r>
    <r>
      <rPr>
        <b/>
        <vertAlign val="subscript"/>
        <sz val="11"/>
        <color theme="0"/>
        <rFont val="Calibri"/>
        <family val="2"/>
        <scheme val="minor"/>
      </rPr>
      <t>2</t>
    </r>
    <r>
      <rPr>
        <b/>
        <sz val="11"/>
        <color theme="0"/>
        <rFont val="Calibri"/>
        <family val="2"/>
        <scheme val="minor"/>
      </rPr>
      <t>e/ha)</t>
    </r>
  </si>
  <si>
    <r>
      <t>Loss Method 
(tCO</t>
    </r>
    <r>
      <rPr>
        <b/>
        <vertAlign val="subscript"/>
        <sz val="10"/>
        <color theme="0"/>
        <rFont val="Arial"/>
        <family val="2"/>
      </rPr>
      <t xml:space="preserve">2 </t>
    </r>
    <r>
      <rPr>
        <b/>
        <sz val="10"/>
        <color theme="0"/>
        <rFont val="Arial"/>
        <family val="2"/>
      </rPr>
      <t>/yr</t>
    </r>
    <r>
      <rPr>
        <b/>
        <sz val="10"/>
        <color theme="0"/>
        <rFont val="Arial"/>
        <family val="2"/>
      </rPr>
      <t>)</t>
    </r>
  </si>
  <si>
    <r>
      <t>Carbon density trees (tCO</t>
    </r>
    <r>
      <rPr>
        <vertAlign val="subscript"/>
        <sz val="11"/>
        <color theme="0"/>
        <rFont val="Calibri"/>
        <family val="2"/>
        <scheme val="minor"/>
      </rPr>
      <t>2</t>
    </r>
    <r>
      <rPr>
        <sz val="11"/>
        <color theme="0"/>
        <rFont val="Calibri"/>
        <family val="2"/>
        <scheme val="minor"/>
      </rPr>
      <t>/ha)</t>
    </r>
  </si>
  <si>
    <r>
      <t>Carbon density shrubs (tCO</t>
    </r>
    <r>
      <rPr>
        <vertAlign val="subscript"/>
        <sz val="11"/>
        <color theme="0"/>
        <rFont val="Calibri"/>
        <family val="2"/>
        <scheme val="minor"/>
      </rPr>
      <t>2</t>
    </r>
    <r>
      <rPr>
        <sz val="11"/>
        <color theme="0"/>
        <rFont val="Calibri"/>
        <family val="2"/>
        <scheme val="minor"/>
      </rPr>
      <t>/ha</t>
    </r>
    <r>
      <rPr>
        <sz val="11"/>
        <color theme="0"/>
        <rFont val="Calibri"/>
        <family val="2"/>
        <scheme val="minor"/>
      </rPr>
      <t>)</t>
    </r>
  </si>
  <si>
    <r>
      <t>Carbon density dead wood (tCO</t>
    </r>
    <r>
      <rPr>
        <vertAlign val="subscript"/>
        <sz val="11"/>
        <color theme="0"/>
        <rFont val="Calibri"/>
        <family val="2"/>
        <scheme val="minor"/>
      </rPr>
      <t>2</t>
    </r>
    <r>
      <rPr>
        <sz val="11"/>
        <color theme="0"/>
        <rFont val="Calibri"/>
        <family val="2"/>
        <scheme val="minor"/>
      </rPr>
      <t>/ha)</t>
    </r>
  </si>
  <si>
    <r>
      <t>Carbon density litter (tCO</t>
    </r>
    <r>
      <rPr>
        <vertAlign val="subscript"/>
        <sz val="11"/>
        <color theme="0"/>
        <rFont val="Calibri"/>
        <family val="2"/>
        <scheme val="minor"/>
      </rPr>
      <t>2</t>
    </r>
    <r>
      <rPr>
        <sz val="11"/>
        <color theme="0"/>
        <rFont val="Calibri"/>
        <family val="2"/>
        <scheme val="minor"/>
      </rPr>
      <t>/ha)</t>
    </r>
  </si>
  <si>
    <r>
      <t>Carbon stored in wood products (tCO</t>
    </r>
    <r>
      <rPr>
        <b/>
        <vertAlign val="subscript"/>
        <sz val="11"/>
        <color theme="0"/>
        <rFont val="Calibri"/>
        <family val="2"/>
        <scheme val="minor"/>
      </rPr>
      <t>2</t>
    </r>
    <r>
      <rPr>
        <b/>
        <sz val="11"/>
        <color theme="0"/>
        <rFont val="Calibri"/>
        <family val="2"/>
        <scheme val="minor"/>
      </rPr>
      <t>e/yr)</t>
    </r>
  </si>
  <si>
    <r>
      <t>Carbon stocks density of trees (tCO</t>
    </r>
    <r>
      <rPr>
        <vertAlign val="subscript"/>
        <sz val="11"/>
        <color theme="0"/>
        <rFont val="Calibri"/>
        <family val="2"/>
        <scheme val="minor"/>
      </rPr>
      <t>2</t>
    </r>
    <r>
      <rPr>
        <sz val="11"/>
        <color theme="0"/>
        <rFont val="Calibri"/>
        <family val="2"/>
        <scheme val="minor"/>
      </rPr>
      <t>e/ha)</t>
    </r>
  </si>
  <si>
    <r>
      <t>Carbon stocks density of shrubs (tCO</t>
    </r>
    <r>
      <rPr>
        <vertAlign val="subscript"/>
        <sz val="11"/>
        <color theme="0"/>
        <rFont val="Calibri"/>
        <family val="2"/>
        <scheme val="minor"/>
      </rPr>
      <t>2</t>
    </r>
    <r>
      <rPr>
        <sz val="11"/>
        <color theme="0"/>
        <rFont val="Calibri"/>
        <family val="2"/>
        <scheme val="minor"/>
      </rPr>
      <t>e/ha)</t>
    </r>
  </si>
  <si>
    <r>
      <t>Carbon stocks density of dead wood (tCO</t>
    </r>
    <r>
      <rPr>
        <vertAlign val="subscript"/>
        <sz val="11"/>
        <color theme="0"/>
        <rFont val="Calibri"/>
        <family val="2"/>
        <scheme val="minor"/>
      </rPr>
      <t>2</t>
    </r>
    <r>
      <rPr>
        <sz val="11"/>
        <color theme="0"/>
        <rFont val="Calibri"/>
        <family val="2"/>
        <scheme val="minor"/>
      </rPr>
      <t>e/ha)</t>
    </r>
  </si>
  <si>
    <r>
      <t>Carbon stocks density of litter (tCO</t>
    </r>
    <r>
      <rPr>
        <vertAlign val="subscript"/>
        <sz val="11"/>
        <color theme="0"/>
        <rFont val="Calibri"/>
        <family val="2"/>
        <scheme val="minor"/>
      </rPr>
      <t>2</t>
    </r>
    <r>
      <rPr>
        <sz val="11"/>
        <color theme="0"/>
        <rFont val="Calibri"/>
        <family val="2"/>
        <scheme val="minor"/>
      </rPr>
      <t>e/ha)</t>
    </r>
  </si>
  <si>
    <r>
      <t>Average carbon stock density of trees (tCO</t>
    </r>
    <r>
      <rPr>
        <b/>
        <vertAlign val="subscript"/>
        <sz val="11"/>
        <color theme="0"/>
        <rFont val="Calibri"/>
        <family val="2"/>
        <scheme val="minor"/>
      </rPr>
      <t>2</t>
    </r>
    <r>
      <rPr>
        <b/>
        <sz val="11"/>
        <color theme="0"/>
        <rFont val="Calibri"/>
        <family val="2"/>
        <scheme val="minor"/>
      </rPr>
      <t>/ha)</t>
    </r>
  </si>
  <si>
    <r>
      <t>Average carbon stock density of shrubs (tCO</t>
    </r>
    <r>
      <rPr>
        <b/>
        <vertAlign val="subscript"/>
        <sz val="11"/>
        <color theme="0"/>
        <rFont val="Calibri"/>
        <family val="2"/>
        <scheme val="minor"/>
      </rPr>
      <t>2</t>
    </r>
    <r>
      <rPr>
        <b/>
        <sz val="11"/>
        <color theme="0"/>
        <rFont val="Calibri"/>
        <family val="2"/>
        <scheme val="minor"/>
      </rPr>
      <t>/ha)</t>
    </r>
  </si>
  <si>
    <r>
      <t>Average carbon stock density of dead wood (tCO</t>
    </r>
    <r>
      <rPr>
        <b/>
        <vertAlign val="subscript"/>
        <sz val="11"/>
        <color theme="0"/>
        <rFont val="Calibri"/>
        <family val="2"/>
        <scheme val="minor"/>
      </rPr>
      <t>2</t>
    </r>
    <r>
      <rPr>
        <b/>
        <sz val="11"/>
        <color theme="0"/>
        <rFont val="Calibri"/>
        <family val="2"/>
        <scheme val="minor"/>
      </rPr>
      <t>/ha)</t>
    </r>
  </si>
  <si>
    <r>
      <t>Average carbon stock density of litter (tCO</t>
    </r>
    <r>
      <rPr>
        <b/>
        <vertAlign val="subscript"/>
        <sz val="11"/>
        <color theme="0"/>
        <rFont val="Calibri"/>
        <family val="2"/>
        <scheme val="minor"/>
      </rPr>
      <t>2</t>
    </r>
    <r>
      <rPr>
        <b/>
        <sz val="11"/>
        <color theme="0"/>
        <rFont val="Calibri"/>
        <family val="2"/>
        <scheme val="minor"/>
      </rPr>
      <t>/ha)</t>
    </r>
  </si>
  <si>
    <r>
      <t>Average forest carbon stock density 
(tCO</t>
    </r>
    <r>
      <rPr>
        <b/>
        <vertAlign val="subscript"/>
        <sz val="11"/>
        <color theme="0"/>
        <rFont val="Calibri"/>
        <family val="2"/>
        <scheme val="minor"/>
      </rPr>
      <t>2</t>
    </r>
    <r>
      <rPr>
        <b/>
        <sz val="11"/>
        <color theme="0"/>
        <rFont val="Calibri"/>
        <family val="2"/>
        <scheme val="minor"/>
      </rPr>
      <t>e/ha)</t>
    </r>
  </si>
  <si>
    <t xml:space="preserve">Select model number </t>
  </si>
  <si>
    <t>Standing volume model (m³/ha)</t>
  </si>
  <si>
    <t>Answer the questions in the green boxes below by selecting your preferred option.</t>
  </si>
  <si>
    <t>The purpose of this tool is to facilitate the assessment and analysis of carbon stocks and carbon stock changes of forest enterprises and other forest projects holding FSC certificates.</t>
  </si>
  <si>
    <t>Many cells in the worksheets of this tool are protected so that you cannot delete or modify their content. Only the cells where you should input data are unprotected. The protection can be eliminated in Excel under File, Info using the password 'Carbon'.</t>
  </si>
  <si>
    <t>User guide</t>
  </si>
  <si>
    <t>FSC declines all responsibility for any individual software errors or deficiencies within this Excel-based tool. Additionally, the user is responsible for any program maintenance and upgrading to ensure optimal use of the tool. FSC also declines any responsibility for updating the data and assumes no responsibility for errors or omissions in the data provided. Users are, however, kindly asked to report any errors or deficiencies in this product to FSC. The choices of calculation made in this tool are those of the author(s) and do not necessarily reflect the views  and choices of FSC.</t>
  </si>
  <si>
    <t>Do you have forest inventory data to estimate carbon stocks of your forest area?</t>
  </si>
  <si>
    <t xml:space="preserve">Do you want to include carbon from shrubs in your carbon assessment? </t>
  </si>
  <si>
    <t xml:space="preserve">Do you want to include carbon from dead wood in your assessment? </t>
  </si>
  <si>
    <t xml:space="preserve">Do you want to include carbon from litter in your assessment? </t>
  </si>
  <si>
    <t xml:space="preserve">Do you want to include carbon sequestered in wood products in your assessment? </t>
  </si>
  <si>
    <r>
      <t xml:space="preserve">Alternatively, if you are </t>
    </r>
    <r>
      <rPr>
        <b/>
        <i/>
        <sz val="12"/>
        <color theme="1"/>
        <rFont val="Calibri"/>
        <family val="2"/>
        <scheme val="minor"/>
      </rPr>
      <t>only</t>
    </r>
    <r>
      <rPr>
        <b/>
        <sz val="12"/>
        <color theme="1"/>
        <rFont val="Calibri"/>
        <family val="2"/>
        <scheme val="minor"/>
      </rPr>
      <t xml:space="preserve"> interested in calculating carbon emissions from logging activities,</t>
    </r>
  </si>
  <si>
    <t xml:space="preserve">Background data </t>
  </si>
  <si>
    <t>Name of project/FMU</t>
  </si>
  <si>
    <t>Loss method: Reference country</t>
  </si>
  <si>
    <t>Loss method: Annual extraction rate tropical forest</t>
  </si>
  <si>
    <t>Biomass expansion factor
(dimensionless)</t>
  </si>
  <si>
    <r>
      <t>Wood density 
(t d.m. /m</t>
    </r>
    <r>
      <rPr>
        <vertAlign val="superscript"/>
        <sz val="11"/>
        <color theme="0"/>
        <rFont val="Calibri"/>
        <family val="2"/>
        <scheme val="minor"/>
      </rPr>
      <t>-3</t>
    </r>
    <r>
      <rPr>
        <sz val="11"/>
        <color theme="0"/>
        <rFont val="Calibri"/>
        <family val="2"/>
        <scheme val="minor"/>
      </rPr>
      <t>)</t>
    </r>
  </si>
  <si>
    <t>Name of fertilizer</t>
  </si>
  <si>
    <t>Organic or inorganic</t>
  </si>
  <si>
    <t>Nitrogen content (%)</t>
  </si>
  <si>
    <t>Total annual consumption (litres)</t>
  </si>
  <si>
    <t xml:space="preserve">Fossil fuel type </t>
  </si>
  <si>
    <t>select Yes on the dropdown menu below and proceed to the Loss methods cell under Background data.</t>
  </si>
  <si>
    <r>
      <t>Total timber extraction rate (m</t>
    </r>
    <r>
      <rPr>
        <b/>
        <vertAlign val="superscript"/>
        <sz val="11"/>
        <color theme="0"/>
        <rFont val="Calibri"/>
        <family val="2"/>
        <scheme val="minor"/>
      </rPr>
      <t>3</t>
    </r>
    <r>
      <rPr>
        <b/>
        <sz val="11"/>
        <color theme="0"/>
        <rFont val="Calibri"/>
        <family val="2"/>
        <scheme val="minor"/>
      </rPr>
      <t>/year)</t>
    </r>
  </si>
  <si>
    <t>Required for monitoring carbon stocks/stock changes</t>
  </si>
  <si>
    <t xml:space="preserve">Carbon monitoring results </t>
  </si>
  <si>
    <t xml:space="preserve">Whenever data are entered or changed, click on 'Refresh Results'. </t>
  </si>
  <si>
    <t>1. Carbon stocks</t>
  </si>
  <si>
    <t>2. Carbon stock changes</t>
  </si>
  <si>
    <t xml:space="preserve">Stratum-specific definition of models </t>
  </si>
  <si>
    <t>(this sheet moves from left to right)</t>
  </si>
  <si>
    <r>
      <t xml:space="preserve">Based on your input information, two different growth models over the entire rotation are developed for each parameter. Check the </t>
    </r>
    <r>
      <rPr>
        <b/>
        <sz val="13"/>
        <color theme="1"/>
        <rFont val="Calibri"/>
        <family val="2"/>
        <scheme val="minor"/>
      </rPr>
      <t>Model graphs</t>
    </r>
    <r>
      <rPr>
        <sz val="13"/>
        <color theme="1"/>
        <rFont val="Calibri"/>
        <family val="2"/>
        <scheme val="minor"/>
      </rPr>
      <t xml:space="preserve"> on the right to decide which model fits best to your specific forest stratum. Then select the annual </t>
    </r>
    <r>
      <rPr>
        <b/>
        <sz val="13"/>
        <color theme="1"/>
        <rFont val="Calibri"/>
        <family val="2"/>
        <scheme val="minor"/>
      </rPr>
      <t>Standing volume</t>
    </r>
    <r>
      <rPr>
        <sz val="13"/>
        <color theme="1"/>
        <rFont val="Calibri"/>
        <family val="2"/>
        <scheme val="minor"/>
      </rPr>
      <t xml:space="preserve"> values in the respective model, copy (Ctrl+c) and using Excel's </t>
    </r>
    <r>
      <rPr>
        <b/>
        <sz val="13"/>
        <color theme="1"/>
        <rFont val="Calibri"/>
        <family val="2"/>
        <scheme val="minor"/>
      </rPr>
      <t>Paste Special</t>
    </r>
    <r>
      <rPr>
        <sz val="13"/>
        <color theme="1"/>
        <rFont val="Calibri"/>
        <family val="2"/>
        <scheme val="minor"/>
      </rPr>
      <t xml:space="preserve"> function, </t>
    </r>
    <r>
      <rPr>
        <i/>
        <sz val="13"/>
        <color theme="1"/>
        <rFont val="Calibri"/>
        <family val="2"/>
        <scheme val="minor"/>
      </rPr>
      <t>paste them as Values (not as Formulas)</t>
    </r>
    <r>
      <rPr>
        <b/>
        <sz val="13"/>
        <color theme="1"/>
        <rFont val="Calibri"/>
        <family val="2"/>
        <scheme val="minor"/>
      </rPr>
      <t xml:space="preserve"> </t>
    </r>
    <r>
      <rPr>
        <sz val="13"/>
        <color theme="1"/>
        <rFont val="Calibri"/>
        <family val="2"/>
        <scheme val="minor"/>
      </rPr>
      <t xml:space="preserve">into the </t>
    </r>
    <r>
      <rPr>
        <b/>
        <sz val="13"/>
        <color theme="1"/>
        <rFont val="Calibri"/>
        <family val="2"/>
        <scheme val="minor"/>
      </rPr>
      <t>All models</t>
    </r>
    <r>
      <rPr>
        <sz val="13"/>
        <color theme="1"/>
        <rFont val="Calibri"/>
        <family val="2"/>
        <scheme val="minor"/>
      </rPr>
      <t xml:space="preserve"> sheet for the respective model. </t>
    </r>
  </si>
  <si>
    <t>Growth models derived, to be used in 'All models'</t>
  </si>
  <si>
    <t>Select Growth model 1 or 2. Copy (Ctrl+c) and using Paste Special, paste as Values (not Formulas) under 'All models'</t>
  </si>
  <si>
    <t>Select model type</t>
  </si>
  <si>
    <r>
      <t>The annual volume growth models (in m</t>
    </r>
    <r>
      <rPr>
        <vertAlign val="superscript"/>
        <sz val="11"/>
        <color theme="1"/>
        <rFont val="Calibri"/>
        <family val="2"/>
        <scheme val="minor"/>
      </rPr>
      <t>3</t>
    </r>
    <r>
      <rPr>
        <sz val="11"/>
        <color theme="1"/>
        <rFont val="Calibri"/>
        <family val="2"/>
        <scheme val="minor"/>
      </rPr>
      <t xml:space="preserve"> standing volume per ha) for each stratum need to be entered/pasted into the table below (using Excel’s Paste Special function: paste as Values, not as Formulas). Selecting each stratum model separately will automatically show the models individually in the table (under </t>
    </r>
    <r>
      <rPr>
        <b/>
        <sz val="11"/>
        <color theme="1"/>
        <rFont val="Calibri"/>
        <family val="2"/>
        <scheme val="minor"/>
      </rPr>
      <t>Select model number</t>
    </r>
    <r>
      <rPr>
        <sz val="11"/>
        <color theme="1"/>
        <rFont val="Calibri"/>
        <family val="2"/>
        <scheme val="minor"/>
      </rPr>
      <t>, select a number in the yellow cell).</t>
    </r>
  </si>
  <si>
    <t>Standing volume according to growth model (m³/ha)</t>
  </si>
  <si>
    <r>
      <t>Summary of simulation</t>
    </r>
    <r>
      <rPr>
        <sz val="16"/>
        <color theme="1"/>
        <rFont val="Calibri"/>
        <family val="2"/>
        <scheme val="minor"/>
      </rPr>
      <t xml:space="preserve"> - click on </t>
    </r>
    <r>
      <rPr>
        <b/>
        <sz val="16"/>
        <color theme="1"/>
        <rFont val="Calibri"/>
        <family val="2"/>
        <scheme val="minor"/>
      </rPr>
      <t>Refresh results tables</t>
    </r>
    <r>
      <rPr>
        <sz val="16"/>
        <color theme="1"/>
        <rFont val="Calibri"/>
        <family val="2"/>
        <scheme val="minor"/>
      </rPr>
      <t xml:space="preserve"> (there may be a time delay as Excel performs the calculation).</t>
    </r>
  </si>
  <si>
    <r>
      <t>Total carbon stocks  (tCO</t>
    </r>
    <r>
      <rPr>
        <b/>
        <vertAlign val="subscript"/>
        <sz val="10"/>
        <color theme="0"/>
        <rFont val="Arial"/>
        <family val="2"/>
      </rPr>
      <t>2</t>
    </r>
    <r>
      <rPr>
        <b/>
        <sz val="10"/>
        <color theme="0"/>
        <rFont val="Arial"/>
        <family val="2"/>
      </rPr>
      <t>e)</t>
    </r>
  </si>
  <si>
    <t>Mean diameter at breast height (DBH) (cm)</t>
  </si>
  <si>
    <r>
      <t xml:space="preserve">For each model to be developed, enter a minimum of three age-dependent growth values in the table below. The first row should always be age 1; the last entry should be the final year of rotation. Minimum data requirements are: </t>
    </r>
    <r>
      <rPr>
        <b/>
        <sz val="13"/>
        <color theme="1"/>
        <rFont val="Calibri"/>
        <family val="2"/>
        <scheme val="minor"/>
      </rPr>
      <t>Number of trees per ha</t>
    </r>
    <r>
      <rPr>
        <sz val="13"/>
        <color theme="1"/>
        <rFont val="Calibri"/>
        <family val="2"/>
        <scheme val="minor"/>
      </rPr>
      <t xml:space="preserve">, </t>
    </r>
    <r>
      <rPr>
        <b/>
        <sz val="13"/>
        <color theme="1"/>
        <rFont val="Calibri"/>
        <family val="2"/>
        <scheme val="minor"/>
      </rPr>
      <t>Height</t>
    </r>
    <r>
      <rPr>
        <sz val="13"/>
        <color theme="1"/>
        <rFont val="Calibri"/>
        <family val="2"/>
        <scheme val="minor"/>
      </rPr>
      <t xml:space="preserve"> and </t>
    </r>
    <r>
      <rPr>
        <b/>
        <sz val="13"/>
        <color theme="1"/>
        <rFont val="Calibri"/>
        <family val="2"/>
        <scheme val="minor"/>
      </rPr>
      <t>Mean diameter</t>
    </r>
    <r>
      <rPr>
        <sz val="13"/>
        <color theme="1"/>
        <rFont val="Calibri"/>
        <family val="2"/>
        <scheme val="minor"/>
      </rPr>
      <t xml:space="preserve">. If no </t>
    </r>
    <r>
      <rPr>
        <b/>
        <sz val="13"/>
        <color theme="1"/>
        <rFont val="Calibri"/>
        <family val="2"/>
        <scheme val="minor"/>
      </rPr>
      <t>Basal area</t>
    </r>
    <r>
      <rPr>
        <sz val="13"/>
        <color theme="1"/>
        <rFont val="Calibri"/>
        <family val="2"/>
        <scheme val="minor"/>
      </rPr>
      <t xml:space="preserve"> or </t>
    </r>
    <r>
      <rPr>
        <b/>
        <sz val="13"/>
        <color theme="1"/>
        <rFont val="Calibri"/>
        <family val="2"/>
        <scheme val="minor"/>
      </rPr>
      <t>Standing volume</t>
    </r>
    <r>
      <rPr>
        <sz val="13"/>
        <color theme="1"/>
        <rFont val="Calibri"/>
        <family val="2"/>
        <scheme val="minor"/>
      </rPr>
      <t xml:space="preserve"> data are available, select </t>
    </r>
    <r>
      <rPr>
        <b/>
        <sz val="13"/>
        <color theme="1"/>
        <rFont val="Calibri"/>
        <family val="2"/>
        <scheme val="minor"/>
      </rPr>
      <t>Yes</t>
    </r>
    <r>
      <rPr>
        <sz val="13"/>
        <color theme="1"/>
        <rFont val="Calibri"/>
        <family val="2"/>
        <scheme val="minor"/>
      </rPr>
      <t xml:space="preserve"> on the right to calculate the values. For Standing volumes, you need to enter a tree form factor;  the default tree form factor value to use is 0.5.</t>
    </r>
  </si>
  <si>
    <r>
      <t xml:space="preserve">Enter the number of growth models in the light green cell and press </t>
    </r>
    <r>
      <rPr>
        <b/>
        <sz val="14"/>
        <rFont val="Calibri"/>
        <family val="2"/>
        <scheme val="minor"/>
      </rPr>
      <t>Click to enter rows</t>
    </r>
    <r>
      <rPr>
        <sz val="14"/>
        <rFont val="Calibri"/>
        <family val="2"/>
        <scheme val="minor"/>
      </rPr>
      <t xml:space="preserve">. Then for each model specify the </t>
    </r>
    <r>
      <rPr>
        <b/>
        <sz val="14"/>
        <rFont val="Calibri"/>
        <family val="2"/>
        <scheme val="minor"/>
      </rPr>
      <t>Stratum</t>
    </r>
    <r>
      <rPr>
        <sz val="14"/>
        <rFont val="Calibri"/>
        <family val="2"/>
        <scheme val="minor"/>
      </rPr>
      <t xml:space="preserve">, </t>
    </r>
    <r>
      <rPr>
        <b/>
        <sz val="14"/>
        <rFont val="Calibri"/>
        <family val="2"/>
        <scheme val="minor"/>
      </rPr>
      <t>Species</t>
    </r>
    <r>
      <rPr>
        <sz val="14"/>
        <rFont val="Calibri"/>
        <family val="2"/>
        <scheme val="minor"/>
      </rPr>
      <t xml:space="preserve"> and </t>
    </r>
    <r>
      <rPr>
        <b/>
        <sz val="14"/>
        <rFont val="Calibri"/>
        <family val="2"/>
        <scheme val="minor"/>
      </rPr>
      <t>Rotation period</t>
    </r>
    <r>
      <rPr>
        <sz val="14"/>
        <rFont val="Calibri"/>
        <family val="2"/>
        <scheme val="minor"/>
      </rPr>
      <t xml:space="preserve">, and press </t>
    </r>
    <r>
      <rPr>
        <b/>
        <sz val="14"/>
        <rFont val="Calibri"/>
        <family val="2"/>
        <scheme val="minor"/>
      </rPr>
      <t>Click to add to "All models"</t>
    </r>
  </si>
  <si>
    <t xml:space="preserve">Stratum-specific standing volume model development </t>
  </si>
  <si>
    <r>
      <t xml:space="preserve">When you have completed the stratum models, they need to be represented in the table to allow the tool to perform the simulation correctly. When you press </t>
    </r>
    <r>
      <rPr>
        <b/>
        <sz val="11"/>
        <color theme="1"/>
        <rFont val="Calibri"/>
        <family val="2"/>
        <scheme val="minor"/>
      </rPr>
      <t>Click to show "All models"</t>
    </r>
    <r>
      <rPr>
        <sz val="11"/>
        <color theme="1"/>
        <rFont val="Calibri"/>
        <family val="2"/>
        <scheme val="minor"/>
      </rPr>
      <t>, these data are entered into the table below.</t>
    </r>
  </si>
  <si>
    <t xml:space="preserve">Enter stratum-specific standing volume information </t>
  </si>
  <si>
    <r>
      <t xml:space="preserve">The graphs below should help you decide which model type fits best to the data you entered. You can click through different models from the dropdown menu for all the parameters defined and choose a different timespan and starting year to display.  Finally, the </t>
    </r>
    <r>
      <rPr>
        <b/>
        <sz val="12"/>
        <color theme="1"/>
        <rFont val="Calibri"/>
        <family val="2"/>
        <scheme val="minor"/>
      </rPr>
      <t>Standing volume growth</t>
    </r>
    <r>
      <rPr>
        <sz val="12"/>
        <color theme="1"/>
        <rFont val="Calibri"/>
        <family val="2"/>
        <scheme val="minor"/>
      </rPr>
      <t xml:space="preserve"> model is used for each stratum to be simulated. </t>
    </r>
  </si>
  <si>
    <t>Biomass expansion factors (BEF)</t>
  </si>
  <si>
    <t>No</t>
  </si>
  <si>
    <t>Plantation forest</t>
  </si>
  <si>
    <t>&lt; 2000m</t>
  </si>
  <si>
    <t>&lt; 1000 mm/yr</t>
  </si>
  <si>
    <t>1000-1600 mm/yr</t>
  </si>
  <si>
    <t>Gesamtergebnis</t>
  </si>
  <si>
    <t xml:space="preserve">FSC Carbon Monitoring Tool Version 2.0.
This tool was developed by Irene Calo, Eduard Merger, Prashant Kadgi, Gabriel Burns and Matthias Seebauer of UNIQUE forestry and land use. Contact: unique@unique-landuse.de 
</t>
  </si>
  <si>
    <t>FOREST CARBON MONITORING TOOL</t>
  </si>
  <si>
    <r>
      <t>We have aimed to produce a user-friendly tool. Please refer to the</t>
    </r>
    <r>
      <rPr>
        <i/>
        <sz val="11"/>
        <color theme="1"/>
        <rFont val="Calibri"/>
        <family val="2"/>
        <scheme val="minor"/>
      </rPr>
      <t xml:space="preserve"> User's Manual for the FSC Forest Carbon Monitoring Tool </t>
    </r>
    <r>
      <rPr>
        <sz val="11"/>
        <color theme="1"/>
        <rFont val="Calibri"/>
        <family val="2"/>
        <scheme val="minor"/>
      </rPr>
      <t xml:space="preserve">for details on its use.
 </t>
    </r>
  </si>
  <si>
    <r>
      <t>IPCC TABLE</t>
    </r>
    <r>
      <rPr>
        <b/>
        <sz val="11"/>
        <rFont val="Calibri"/>
        <family val="2"/>
        <scheme val="major"/>
      </rPr>
      <t xml:space="preserve"> 3A.1.9-1
BASIC WOOD DENSITIES OF STEMWOOD  (tonnes dry matter/m3  fresh volume)</t>
    </r>
  </si>
  <si>
    <r>
      <t xml:space="preserve">Forest inventory data provide the required information base for the forest resource within an area of interest. Forest information could be collected at different geographical levels. This question refers to data on forest stands or forest strata where inventories are carried out to plan forestry operations or to prepare for selling standing timber. For forest enterprises, forest inventories are carried out periodically to prepare forest management plans that define silvicultural treatments, such as thinning and harvesting, for a planning period. If you have collected such inventory data for a particular point in time, or for different years, please indicate </t>
    </r>
    <r>
      <rPr>
        <b/>
        <sz val="14"/>
        <color theme="1"/>
        <rFont val="Calibri"/>
        <family val="2"/>
        <scheme val="minor"/>
      </rPr>
      <t xml:space="preserve">Yes. </t>
    </r>
    <r>
      <rPr>
        <sz val="14"/>
        <color theme="1"/>
        <rFont val="Calibri"/>
        <family val="2"/>
        <scheme val="minor"/>
      </rPr>
      <t>Carbon stocks and carbon stock changes will be calculated on the basis of this specific information.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</si>
</sst>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 _€_-;\-* #,##0.00\ _€_-;_-* &quot;-&quot;??\ _€_-;_-@_-"/>
    <numFmt numFmtId="165" formatCode="0.0"/>
    <numFmt numFmtId="166" formatCode="_-* #,##0.00000\ _€_-;\-* #,##0.00000\ _€_-;_-* &quot;-&quot;??\ _€_-;_-@_-"/>
    <numFmt numFmtId="167" formatCode="#,##0.0"/>
    <numFmt numFmtId="168" formatCode="0.000"/>
    <numFmt numFmtId="169" formatCode="#,##0.000"/>
  </numFmts>
  <fonts count="100" x14ac:knownFonts="1">
    <font>
      <sz val="11"/>
      <color theme="1"/>
      <name val="Calibri"/>
      <family val="2"/>
      <scheme val="minor"/>
    </font>
    <font>
      <sz val="12"/>
      <color theme="1"/>
      <name val="Calibri"/>
      <family val="2"/>
      <scheme val="minor"/>
    </font>
    <font>
      <sz val="11"/>
      <color theme="0"/>
      <name val="Calibri"/>
      <family val="2"/>
      <scheme val="minor"/>
    </font>
    <font>
      <b/>
      <sz val="14"/>
      <color theme="1"/>
      <name val="Calibri"/>
      <family val="2"/>
      <scheme val="minor"/>
    </font>
    <font>
      <sz val="11"/>
      <color theme="4" tint="-0.249977111117893"/>
      <name val="Calibri"/>
      <family val="2"/>
      <scheme val="minor"/>
    </font>
    <font>
      <b/>
      <sz val="11"/>
      <color theme="1"/>
      <name val="Calibri"/>
      <family val="2"/>
      <scheme val="minor"/>
    </font>
    <font>
      <sz val="11"/>
      <name val="Calibri"/>
      <family val="2"/>
      <scheme val="minor"/>
    </font>
    <font>
      <sz val="18"/>
      <name val="Calibri"/>
      <family val="2"/>
      <scheme val="minor"/>
    </font>
    <font>
      <sz val="16"/>
      <color theme="0"/>
      <name val="Calibri"/>
      <family val="2"/>
      <scheme val="minor"/>
    </font>
    <font>
      <sz val="12"/>
      <color theme="1"/>
      <name val="Calibri"/>
      <family val="2"/>
      <scheme val="minor"/>
    </font>
    <font>
      <b/>
      <sz val="11"/>
      <color theme="0"/>
      <name val="Calibri"/>
      <family val="2"/>
      <scheme val="minor"/>
    </font>
    <font>
      <b/>
      <sz val="9"/>
      <name val="Verdana"/>
      <family val="2"/>
    </font>
    <font>
      <sz val="9"/>
      <name val="Verdana"/>
      <family val="2"/>
    </font>
    <font>
      <b/>
      <sz val="6"/>
      <name val="Verdana"/>
      <family val="2"/>
    </font>
    <font>
      <sz val="8"/>
      <name val="Verdana"/>
      <family val="2"/>
    </font>
    <font>
      <sz val="6"/>
      <name val="Verdana"/>
      <family val="2"/>
    </font>
    <font>
      <sz val="11"/>
      <color theme="1"/>
      <name val="Calibri"/>
      <family val="2"/>
      <scheme val="minor"/>
    </font>
    <font>
      <sz val="11"/>
      <color rgb="FF9C6500"/>
      <name val="Calibri"/>
      <family val="2"/>
      <scheme val="minor"/>
    </font>
    <font>
      <sz val="11"/>
      <color rgb="FFFF0000"/>
      <name val="Calibri"/>
      <family val="2"/>
      <scheme val="minor"/>
    </font>
    <font>
      <b/>
      <sz val="14"/>
      <name val="Calibri"/>
      <family val="2"/>
      <scheme val="minor"/>
    </font>
    <font>
      <u/>
      <sz val="10"/>
      <color indexed="18"/>
      <name val="Arial"/>
      <family val="2"/>
    </font>
    <font>
      <u/>
      <sz val="10"/>
      <color indexed="18"/>
      <name val="Calibri"/>
      <family val="2"/>
      <scheme val="minor"/>
    </font>
    <font>
      <b/>
      <sz val="16"/>
      <name val="Calibri"/>
      <family val="2"/>
      <scheme val="minor"/>
    </font>
    <font>
      <b/>
      <sz val="10"/>
      <color indexed="18"/>
      <name val="Calibri"/>
      <family val="2"/>
      <scheme val="minor"/>
    </font>
    <font>
      <sz val="10"/>
      <name val="Calibri"/>
      <family val="2"/>
      <scheme val="minor"/>
    </font>
    <font>
      <b/>
      <sz val="11"/>
      <name val="Calibri"/>
      <family val="2"/>
      <scheme val="minor"/>
    </font>
    <font>
      <sz val="10"/>
      <color theme="1"/>
      <name val="Calibri"/>
      <family val="2"/>
      <scheme val="minor"/>
    </font>
    <font>
      <sz val="12"/>
      <name val="Calibri"/>
      <family val="2"/>
      <scheme val="minor"/>
    </font>
    <font>
      <sz val="10"/>
      <color theme="0"/>
      <name val="Calibri"/>
      <family val="2"/>
      <scheme val="minor"/>
    </font>
    <font>
      <sz val="9"/>
      <name val="Calibri"/>
      <family val="2"/>
      <scheme val="minor"/>
    </font>
    <font>
      <sz val="9"/>
      <color theme="1"/>
      <name val="Calibri"/>
      <family val="2"/>
      <scheme val="minor"/>
    </font>
    <font>
      <sz val="18"/>
      <color theme="1"/>
      <name val="Calibri"/>
      <family val="2"/>
      <scheme val="minor"/>
    </font>
    <font>
      <b/>
      <sz val="11"/>
      <color theme="4"/>
      <name val="Calibri"/>
      <family val="2"/>
      <scheme val="minor"/>
    </font>
    <font>
      <sz val="11"/>
      <color theme="4"/>
      <name val="Calibri"/>
      <family val="2"/>
      <scheme val="minor"/>
    </font>
    <font>
      <b/>
      <u/>
      <sz val="11"/>
      <color theme="1"/>
      <name val="Calibri"/>
      <family val="2"/>
      <scheme val="minor"/>
    </font>
    <font>
      <i/>
      <sz val="11"/>
      <color rgb="FF9C6500"/>
      <name val="Calibri"/>
      <family val="2"/>
      <scheme val="minor"/>
    </font>
    <font>
      <b/>
      <u/>
      <sz val="18"/>
      <color theme="1"/>
      <name val="Calibri"/>
      <family val="2"/>
      <scheme val="minor"/>
    </font>
    <font>
      <b/>
      <sz val="16"/>
      <color theme="1"/>
      <name val="Calibri"/>
      <family val="2"/>
      <scheme val="minor"/>
    </font>
    <font>
      <sz val="14"/>
      <name val="Calibri"/>
      <family val="2"/>
      <scheme val="minor"/>
    </font>
    <font>
      <b/>
      <i/>
      <sz val="11"/>
      <name val="Calibri"/>
      <family val="2"/>
      <scheme val="minor"/>
    </font>
    <font>
      <sz val="10"/>
      <name val="Arial"/>
      <family val="2"/>
    </font>
    <font>
      <sz val="11"/>
      <color rgb="FFFFFFFF"/>
      <name val="Calibri"/>
      <family val="2"/>
      <scheme val="minor"/>
    </font>
    <font>
      <sz val="14"/>
      <color theme="1"/>
      <name val="Calibri"/>
      <family val="2"/>
      <scheme val="minor"/>
    </font>
    <font>
      <b/>
      <sz val="10"/>
      <name val="Arial"/>
      <family val="2"/>
    </font>
    <font>
      <b/>
      <sz val="11"/>
      <name val="Arial"/>
      <family val="2"/>
    </font>
    <font>
      <sz val="12"/>
      <color theme="0"/>
      <name val="Calibri"/>
      <family val="2"/>
      <scheme val="minor"/>
    </font>
    <font>
      <b/>
      <sz val="10"/>
      <color theme="0"/>
      <name val="Arial"/>
      <family val="2"/>
    </font>
    <font>
      <sz val="10"/>
      <color theme="0"/>
      <name val="Arial"/>
      <family val="2"/>
    </font>
    <font>
      <b/>
      <sz val="12"/>
      <color theme="0"/>
      <name val="Calibri"/>
      <family val="2"/>
      <scheme val="minor"/>
    </font>
    <font>
      <b/>
      <vertAlign val="superscript"/>
      <sz val="11"/>
      <color theme="0"/>
      <name val="Calibri"/>
      <family val="2"/>
      <scheme val="minor"/>
    </font>
    <font>
      <b/>
      <vertAlign val="subscript"/>
      <sz val="11"/>
      <color theme="0"/>
      <name val="Calibri"/>
      <family val="2"/>
      <scheme val="minor"/>
    </font>
    <font>
      <b/>
      <sz val="20"/>
      <color theme="1"/>
      <name val="Calibri"/>
      <family val="2"/>
      <scheme val="minor"/>
    </font>
    <font>
      <b/>
      <sz val="18"/>
      <color rgb="FFFF0000"/>
      <name val="Calibri"/>
      <family val="2"/>
      <scheme val="minor"/>
    </font>
    <font>
      <sz val="11"/>
      <name val="Arial"/>
      <family val="2"/>
    </font>
    <font>
      <u/>
      <sz val="10"/>
      <color indexed="12"/>
      <name val="Arial"/>
      <family val="2"/>
    </font>
    <font>
      <sz val="14"/>
      <color theme="0"/>
      <name val="Calibri"/>
      <family val="2"/>
      <scheme val="minor"/>
    </font>
    <font>
      <b/>
      <sz val="12"/>
      <color rgb="FFFF0000"/>
      <name val="Calibri"/>
      <family val="2"/>
      <scheme val="minor"/>
    </font>
    <font>
      <b/>
      <sz val="14"/>
      <color theme="0"/>
      <name val="Calibri"/>
      <family val="2"/>
      <scheme val="minor"/>
    </font>
    <font>
      <vertAlign val="subscript"/>
      <sz val="11"/>
      <color theme="0"/>
      <name val="Calibri"/>
      <family val="2"/>
      <scheme val="minor"/>
    </font>
    <font>
      <b/>
      <sz val="20"/>
      <name val="Calibri"/>
      <family val="2"/>
      <scheme val="minor"/>
    </font>
    <font>
      <sz val="16"/>
      <color rgb="FFFF0000"/>
      <name val="Calibri"/>
      <family val="2"/>
      <scheme val="minor"/>
    </font>
    <font>
      <sz val="9"/>
      <color rgb="FFFF0000"/>
      <name val="Verdana"/>
      <family val="2"/>
    </font>
    <font>
      <b/>
      <sz val="11"/>
      <name val="Calibri"/>
      <family val="2"/>
      <scheme val="major"/>
    </font>
    <font>
      <b/>
      <sz val="14"/>
      <color rgb="FF006600"/>
      <name val="Calibri"/>
      <family val="2"/>
      <scheme val="minor"/>
    </font>
    <font>
      <sz val="8"/>
      <color theme="1"/>
      <name val="Calibri"/>
      <family val="2"/>
      <scheme val="minor"/>
    </font>
    <font>
      <u/>
      <sz val="11"/>
      <color theme="10"/>
      <name val="Calibri"/>
      <family val="2"/>
      <scheme val="minor"/>
    </font>
    <font>
      <vertAlign val="superscript"/>
      <sz val="11"/>
      <color theme="1"/>
      <name val="Calibri"/>
      <family val="2"/>
      <scheme val="minor"/>
    </font>
    <font>
      <sz val="16"/>
      <color theme="1"/>
      <name val="Calibri"/>
      <family val="2"/>
      <scheme val="minor"/>
    </font>
    <font>
      <b/>
      <sz val="9"/>
      <color indexed="8"/>
      <name val="Verdana"/>
      <family val="2"/>
    </font>
    <font>
      <sz val="9"/>
      <color indexed="8"/>
      <name val="Verdana"/>
      <family val="2"/>
    </font>
    <font>
      <i/>
      <sz val="9"/>
      <color indexed="8"/>
      <name val="Verdana"/>
      <family val="2"/>
    </font>
    <font>
      <sz val="11"/>
      <color theme="1"/>
      <name val="Verdana"/>
      <family val="2"/>
    </font>
    <font>
      <i/>
      <sz val="9"/>
      <name val="Verdana"/>
      <family val="2"/>
    </font>
    <font>
      <vertAlign val="superscript"/>
      <sz val="11"/>
      <color theme="0"/>
      <name val="Calibri"/>
      <family val="2"/>
      <scheme val="minor"/>
    </font>
    <font>
      <b/>
      <vertAlign val="subscript"/>
      <sz val="10"/>
      <color theme="0"/>
      <name val="Arial"/>
      <family val="2"/>
    </font>
    <font>
      <b/>
      <i/>
      <sz val="14"/>
      <color theme="1"/>
      <name val="Calibri"/>
      <family val="2"/>
      <scheme val="minor"/>
    </font>
    <font>
      <b/>
      <vertAlign val="subscript"/>
      <sz val="14"/>
      <color theme="0"/>
      <name val="Calibri"/>
      <family val="2"/>
      <scheme val="minor"/>
    </font>
    <font>
      <b/>
      <sz val="12"/>
      <color theme="1"/>
      <name val="Calibri"/>
      <family val="2"/>
      <scheme val="minor"/>
    </font>
    <font>
      <b/>
      <sz val="11"/>
      <color rgb="FFFF0000"/>
      <name val="Calibri"/>
      <family val="2"/>
      <scheme val="minor"/>
    </font>
    <font>
      <b/>
      <vertAlign val="subscript"/>
      <sz val="11"/>
      <color rgb="FFFF0000"/>
      <name val="Calibri"/>
      <family val="2"/>
      <scheme val="minor"/>
    </font>
    <font>
      <sz val="11"/>
      <color rgb="FF222222"/>
      <name val="Arial"/>
      <family val="2"/>
    </font>
    <font>
      <b/>
      <sz val="14"/>
      <color rgb="FFFF0000"/>
      <name val="Calibri"/>
      <family val="2"/>
      <scheme val="minor"/>
    </font>
    <font>
      <b/>
      <i/>
      <vertAlign val="subscript"/>
      <sz val="10"/>
      <color rgb="FFFF0000"/>
      <name val="Arial"/>
      <family val="2"/>
    </font>
    <font>
      <b/>
      <sz val="12"/>
      <color rgb="FF333333"/>
      <name val="Arial"/>
      <family val="2"/>
    </font>
    <font>
      <b/>
      <sz val="9"/>
      <color rgb="FFFF0000"/>
      <name val="Calibri"/>
      <family val="2"/>
      <scheme val="minor"/>
    </font>
    <font>
      <b/>
      <vertAlign val="superscript"/>
      <sz val="11"/>
      <color rgb="FFFF0000"/>
      <name val="Calibri"/>
      <family val="2"/>
      <scheme val="minor"/>
    </font>
    <font>
      <sz val="9"/>
      <color rgb="FFFF0000"/>
      <name val="Calibri"/>
      <family val="2"/>
      <scheme val="minor"/>
    </font>
    <font>
      <b/>
      <sz val="11"/>
      <color rgb="FFFF0000"/>
      <name val="Arial"/>
      <family val="2"/>
    </font>
    <font>
      <sz val="11"/>
      <color theme="7" tint="0.59999389629810485"/>
      <name val="Calibri"/>
      <family val="2"/>
      <scheme val="minor"/>
    </font>
    <font>
      <u/>
      <sz val="11"/>
      <color theme="0"/>
      <name val="Calibri"/>
      <family val="2"/>
      <scheme val="minor"/>
    </font>
    <font>
      <b/>
      <sz val="12"/>
      <color rgb="FF000000"/>
      <name val="Calibri"/>
      <family val="2"/>
      <scheme val="minor"/>
    </font>
    <font>
      <b/>
      <sz val="14"/>
      <color rgb="FF000000"/>
      <name val="Calibri"/>
      <family val="2"/>
    </font>
    <font>
      <b/>
      <sz val="16"/>
      <color rgb="FF000000"/>
      <name val="Calibri"/>
      <family val="2"/>
      <scheme val="minor"/>
    </font>
    <font>
      <b/>
      <i/>
      <sz val="16"/>
      <color theme="1"/>
      <name val="Calibri"/>
      <family val="2"/>
      <scheme val="minor"/>
    </font>
    <font>
      <i/>
      <sz val="11"/>
      <color theme="1"/>
      <name val="Calibri"/>
      <family val="2"/>
      <scheme val="minor"/>
    </font>
    <font>
      <b/>
      <i/>
      <sz val="12"/>
      <color theme="1"/>
      <name val="Calibri"/>
      <family val="2"/>
      <scheme val="minor"/>
    </font>
    <font>
      <sz val="13"/>
      <color theme="1"/>
      <name val="Calibri"/>
      <family val="2"/>
      <scheme val="minor"/>
    </font>
    <font>
      <b/>
      <sz val="13"/>
      <color theme="1"/>
      <name val="Calibri"/>
      <family val="2"/>
      <scheme val="minor"/>
    </font>
    <font>
      <i/>
      <sz val="13"/>
      <color theme="1"/>
      <name val="Calibri"/>
      <family val="2"/>
      <scheme val="minor"/>
    </font>
    <font>
      <b/>
      <i/>
      <sz val="14"/>
      <name val="Calibri"/>
      <family val="2"/>
      <scheme val="minor"/>
    </font>
  </fonts>
  <fills count="31">
    <fill>
      <patternFill patternType="none"/>
    </fill>
    <fill>
      <patternFill patternType="gray125"/>
    </fill>
    <fill>
      <patternFill patternType="solid">
        <fgColor rgb="FF92D050"/>
        <bgColor indexed="64"/>
      </patternFill>
    </fill>
    <fill>
      <patternFill patternType="solid">
        <fgColor theme="6" tint="0.79998168889431442"/>
        <bgColor indexed="64"/>
      </patternFill>
    </fill>
    <fill>
      <patternFill patternType="solid">
        <fgColor rgb="FFFFEB9C"/>
      </patternFill>
    </fill>
    <fill>
      <patternFill patternType="solid">
        <fgColor theme="0"/>
        <bgColor indexed="64"/>
      </patternFill>
    </fill>
    <fill>
      <patternFill patternType="solid">
        <fgColor rgb="FFFFC000"/>
        <bgColor indexed="64"/>
      </patternFill>
    </fill>
    <fill>
      <patternFill patternType="solid">
        <fgColor rgb="FF92D050"/>
        <bgColor theme="6"/>
      </patternFill>
    </fill>
    <fill>
      <patternFill patternType="solid">
        <fgColor theme="7" tint="-0.499984740745262"/>
        <bgColor indexed="64"/>
      </patternFill>
    </fill>
    <fill>
      <patternFill patternType="solid">
        <fgColor theme="7" tint="-0.249977111117893"/>
        <bgColor indexed="64"/>
      </patternFill>
    </fill>
    <fill>
      <patternFill patternType="solid">
        <fgColor theme="3" tint="9.9978637043366805E-2"/>
        <bgColor indexed="64"/>
      </patternFill>
    </fill>
    <fill>
      <patternFill patternType="solid">
        <fgColor theme="3" tint="0.249977111117893"/>
        <bgColor indexed="64"/>
      </patternFill>
    </fill>
    <fill>
      <patternFill patternType="solid">
        <fgColor theme="0"/>
        <bgColor theme="0" tint="-0.14999847407452621"/>
      </patternFill>
    </fill>
    <fill>
      <patternFill patternType="solid">
        <fgColor theme="0" tint="-0.34998626667073579"/>
        <bgColor indexed="64"/>
      </patternFill>
    </fill>
    <fill>
      <patternFill patternType="solid">
        <fgColor theme="3" tint="0.249977111117893"/>
        <bgColor theme="6"/>
      </patternFill>
    </fill>
    <fill>
      <patternFill patternType="solid">
        <fgColor theme="4"/>
        <bgColor theme="4"/>
      </patternFill>
    </fill>
    <fill>
      <patternFill patternType="solid">
        <fgColor theme="4" tint="9.9978637043366805E-2"/>
        <bgColor indexed="64"/>
      </patternFill>
    </fill>
    <fill>
      <patternFill patternType="solid">
        <fgColor theme="5"/>
        <bgColor indexed="64"/>
      </patternFill>
    </fill>
    <fill>
      <patternFill patternType="solid">
        <fgColor theme="4" tint="0.249977111117893"/>
        <bgColor indexed="64"/>
      </patternFill>
    </fill>
    <fill>
      <patternFill patternType="solid">
        <fgColor theme="0" tint="-0.249977111117893"/>
        <bgColor indexed="64"/>
      </patternFill>
    </fill>
    <fill>
      <patternFill patternType="solid">
        <fgColor theme="0" tint="-0.249977111117893"/>
        <bgColor theme="7"/>
      </patternFill>
    </fill>
    <fill>
      <patternFill patternType="solid">
        <fgColor theme="0"/>
        <bgColor theme="4"/>
      </patternFill>
    </fill>
    <fill>
      <patternFill patternType="solid">
        <fgColor theme="7" tint="0.39997558519241921"/>
        <bgColor indexed="64"/>
      </patternFill>
    </fill>
    <fill>
      <patternFill patternType="solid">
        <fgColor theme="3" tint="0.499984740745262"/>
        <bgColor indexed="64"/>
      </patternFill>
    </fill>
    <fill>
      <patternFill patternType="solid">
        <fgColor theme="2"/>
        <bgColor indexed="64"/>
      </patternFill>
    </fill>
    <fill>
      <patternFill patternType="solid">
        <fgColor theme="4" tint="0.249977111117893"/>
        <bgColor theme="0" tint="-0.14999847407452621"/>
      </patternFill>
    </fill>
    <fill>
      <patternFill patternType="solid">
        <fgColor theme="0"/>
        <bgColor theme="4" tint="0.79998168889431442"/>
      </patternFill>
    </fill>
    <fill>
      <patternFill patternType="solid">
        <fgColor theme="0" tint="-0.14999847407452621"/>
        <bgColor indexed="64"/>
      </patternFill>
    </fill>
    <fill>
      <patternFill patternType="solid">
        <fgColor theme="5" tint="-0.249977111117893"/>
        <bgColor indexed="64"/>
      </patternFill>
    </fill>
    <fill>
      <patternFill patternType="solid">
        <fgColor theme="5" tint="-0.249977111117893"/>
        <bgColor theme="6"/>
      </patternFill>
    </fill>
    <fill>
      <patternFill patternType="solid">
        <fgColor rgb="FF00CA93"/>
        <bgColor indexed="64"/>
      </patternFill>
    </fill>
  </fills>
  <borders count="7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style="thin">
        <color indexed="64"/>
      </right>
      <top/>
      <bottom style="thin">
        <color indexed="64"/>
      </bottom>
      <diagonal/>
    </border>
    <border>
      <left style="medium">
        <color theme="1" tint="0.24994659260841701"/>
      </left>
      <right/>
      <top style="medium">
        <color theme="1" tint="0.24994659260841701"/>
      </top>
      <bottom style="medium">
        <color theme="1" tint="0.24994659260841701"/>
      </bottom>
      <diagonal/>
    </border>
    <border>
      <left/>
      <right style="medium">
        <color theme="1" tint="0.24994659260841701"/>
      </right>
      <top style="medium">
        <color theme="1" tint="0.24994659260841701"/>
      </top>
      <bottom style="medium">
        <color theme="1"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8"/>
      </right>
      <top/>
      <bottom/>
      <diagonal/>
    </border>
    <border>
      <left/>
      <right/>
      <top/>
      <bottom style="medium">
        <color indexed="8"/>
      </bottom>
      <diagonal/>
    </border>
    <border>
      <left style="medium">
        <color indexed="64"/>
      </left>
      <right style="thin">
        <color auto="1"/>
      </right>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theme="1"/>
      </top>
      <bottom style="medium">
        <color theme="1"/>
      </bottom>
      <diagonal/>
    </border>
    <border>
      <left style="medium">
        <color indexed="64"/>
      </left>
      <right/>
      <top style="medium">
        <color indexed="8"/>
      </top>
      <bottom style="medium">
        <color indexed="64"/>
      </bottom>
      <diagonal/>
    </border>
    <border>
      <left/>
      <right/>
      <top style="medium">
        <color indexed="8"/>
      </top>
      <bottom style="medium">
        <color indexed="64"/>
      </bottom>
      <diagonal/>
    </border>
    <border>
      <left/>
      <right style="medium">
        <color indexed="64"/>
      </right>
      <top style="medium">
        <color indexed="8"/>
      </top>
      <bottom style="medium">
        <color indexed="64"/>
      </bottom>
      <diagonal/>
    </border>
    <border>
      <left/>
      <right style="thin">
        <color theme="0" tint="-0.499984740745262"/>
      </right>
      <top/>
      <bottom/>
      <diagonal/>
    </border>
    <border>
      <left style="thin">
        <color theme="0" tint="-0.499984740745262"/>
      </left>
      <right style="thin">
        <color theme="0" tint="-0.499984740745262"/>
      </right>
      <top style="thin">
        <color indexed="64"/>
      </top>
      <bottom style="thin">
        <color theme="0" tint="-0.499984740745262"/>
      </bottom>
      <diagonal/>
    </border>
    <border>
      <left style="thin">
        <color theme="0" tint="-0.499984740745262"/>
      </left>
      <right style="thin">
        <color theme="0" tint="-0.499984740745262"/>
      </right>
      <top/>
      <bottom style="thin">
        <color indexed="64"/>
      </bottom>
      <diagonal/>
    </border>
    <border>
      <left/>
      <right/>
      <top/>
      <bottom style="thick">
        <color theme="3"/>
      </bottom>
      <diagonal/>
    </border>
    <border>
      <left/>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theme="1" tint="0.24994659260841701"/>
      </bottom>
      <diagonal/>
    </border>
    <border>
      <left style="thin">
        <color indexed="64"/>
      </left>
      <right/>
      <top style="medium">
        <color indexed="64"/>
      </top>
      <bottom style="medium">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medium">
        <color indexed="64"/>
      </left>
      <right style="thin">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medium">
        <color indexed="8"/>
      </right>
      <top/>
      <bottom/>
      <diagonal/>
    </border>
    <border>
      <left style="medium">
        <color indexed="64"/>
      </left>
      <right style="thin">
        <color indexed="64"/>
      </right>
      <top/>
      <bottom style="thin">
        <color indexed="64"/>
      </bottom>
      <diagonal/>
    </border>
    <border>
      <left style="thin">
        <color auto="1"/>
      </left>
      <right style="thin">
        <color auto="1"/>
      </right>
      <top style="thin">
        <color auto="1"/>
      </top>
      <bottom/>
      <diagonal/>
    </border>
    <border>
      <left style="medium">
        <color indexed="8"/>
      </left>
      <right style="medium">
        <color indexed="8"/>
      </right>
      <top/>
      <bottom style="medium">
        <color indexed="8"/>
      </bottom>
      <diagonal/>
    </border>
    <border>
      <left style="medium">
        <color indexed="8"/>
      </left>
      <right style="medium">
        <color indexed="8"/>
      </right>
      <top style="medium">
        <color indexed="8"/>
      </top>
      <bottom/>
      <diagonal/>
    </border>
    <border>
      <left style="medium">
        <color indexed="8"/>
      </left>
      <right style="medium">
        <color indexed="8"/>
      </right>
      <top/>
      <bottom/>
      <diagonal/>
    </border>
    <border>
      <left style="medium">
        <color indexed="8"/>
      </left>
      <right/>
      <top style="medium">
        <color indexed="8"/>
      </top>
      <bottom/>
      <diagonal/>
    </border>
    <border>
      <left style="medium">
        <color indexed="8"/>
      </left>
      <right/>
      <top/>
      <bottom/>
      <diagonal/>
    </border>
    <border>
      <left style="medium">
        <color indexed="8"/>
      </left>
      <right/>
      <top/>
      <bottom style="medium">
        <color indexed="8"/>
      </bottom>
      <diagonal/>
    </border>
    <border>
      <left style="medium">
        <color indexed="64"/>
      </left>
      <right style="medium">
        <color indexed="8"/>
      </right>
      <top/>
      <bottom style="medium">
        <color indexed="8"/>
      </bottom>
      <diagonal/>
    </border>
    <border>
      <left/>
      <right style="medium">
        <color indexed="64"/>
      </right>
      <top/>
      <bottom style="medium">
        <color indexed="8"/>
      </bottom>
      <diagonal/>
    </border>
    <border>
      <left style="medium">
        <color indexed="64"/>
      </left>
      <right style="medium">
        <color indexed="8"/>
      </right>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auto="1"/>
      </left>
      <right style="thin">
        <color indexed="64"/>
      </right>
      <top style="medium">
        <color indexed="64"/>
      </top>
      <bottom/>
      <diagonal/>
    </border>
    <border>
      <left style="medium">
        <color indexed="64"/>
      </left>
      <right style="medium">
        <color indexed="64"/>
      </right>
      <top style="medium">
        <color indexed="64"/>
      </top>
      <bottom/>
      <diagonal/>
    </border>
    <border>
      <left/>
      <right style="thin">
        <color auto="1"/>
      </right>
      <top style="thin">
        <color auto="1"/>
      </top>
      <bottom style="thin">
        <color auto="1"/>
      </bottom>
      <diagonal/>
    </border>
    <border>
      <left/>
      <right/>
      <top style="thin">
        <color theme="1"/>
      </top>
      <bottom style="thin">
        <color theme="1"/>
      </bottom>
      <diagonal/>
    </border>
  </borders>
  <cellStyleXfs count="11">
    <xf numFmtId="0" fontId="0" fillId="0" borderId="0"/>
    <xf numFmtId="164" fontId="16" fillId="0" borderId="0" applyFont="0" applyFill="0" applyBorder="0" applyAlignment="0" applyProtection="0"/>
    <xf numFmtId="0" fontId="17" fillId="4" borderId="0" applyNumberFormat="0" applyBorder="0" applyAlignment="0" applyProtection="0"/>
    <xf numFmtId="0" fontId="20" fillId="0" borderId="0" applyNumberFormat="0" applyFill="0" applyBorder="0" applyAlignment="0" applyProtection="0">
      <alignment vertical="top"/>
      <protection locked="0"/>
    </xf>
    <xf numFmtId="0" fontId="40" fillId="0" borderId="0"/>
    <xf numFmtId="0" fontId="54" fillId="0" borderId="0" applyNumberFormat="0" applyFill="0" applyBorder="0" applyAlignment="0" applyProtection="0">
      <alignment vertical="top"/>
      <protection locked="0"/>
    </xf>
    <xf numFmtId="0" fontId="40" fillId="0" borderId="0"/>
    <xf numFmtId="9" fontId="40" fillId="0" borderId="0" applyFont="0" applyFill="0" applyBorder="0" applyAlignment="0" applyProtection="0"/>
    <xf numFmtId="9" fontId="40" fillId="0" borderId="0" applyFont="0" applyFill="0" applyBorder="0" applyAlignment="0" applyProtection="0"/>
    <xf numFmtId="9" fontId="40" fillId="0" borderId="0" applyFont="0" applyFill="0" applyBorder="0" applyAlignment="0" applyProtection="0"/>
    <xf numFmtId="0" fontId="65" fillId="0" borderId="0" applyNumberFormat="0" applyFill="0" applyBorder="0" applyAlignment="0" applyProtection="0"/>
  </cellStyleXfs>
  <cellXfs count="626">
    <xf numFmtId="0" fontId="0" fillId="0" borderId="0" xfId="0"/>
    <xf numFmtId="0" fontId="0" fillId="0" borderId="0" xfId="0"/>
    <xf numFmtId="0" fontId="0" fillId="0" borderId="0" xfId="0" applyFill="1" applyBorder="1"/>
    <xf numFmtId="0" fontId="0" fillId="0" borderId="0" xfId="0" applyFill="1"/>
    <xf numFmtId="0" fontId="25" fillId="0" borderId="0" xfId="0" applyFont="1" applyFill="1" applyBorder="1" applyAlignment="1" applyProtection="1">
      <alignment horizontal="center" vertical="center" wrapText="1"/>
      <protection locked="0"/>
    </xf>
    <xf numFmtId="0" fontId="6" fillId="0" borderId="0" xfId="0" applyNumberFormat="1" applyFont="1" applyFill="1" applyBorder="1" applyAlignment="1" applyProtection="1">
      <alignment horizontal="center"/>
      <protection locked="0"/>
    </xf>
    <xf numFmtId="0" fontId="2" fillId="0" borderId="0" xfId="0" applyFont="1" applyFill="1" applyProtection="1"/>
    <xf numFmtId="0" fontId="0" fillId="5" borderId="0" xfId="0" applyFill="1"/>
    <xf numFmtId="0" fontId="3" fillId="0" borderId="0" xfId="0" applyFont="1" applyFill="1"/>
    <xf numFmtId="0" fontId="9" fillId="0" borderId="0" xfId="0" applyFont="1" applyFill="1"/>
    <xf numFmtId="0" fontId="2" fillId="0" borderId="0" xfId="0" applyFont="1" applyFill="1"/>
    <xf numFmtId="0" fontId="12" fillId="0" borderId="19" xfId="0" applyFont="1" applyFill="1" applyBorder="1" applyAlignment="1">
      <alignment vertical="top" wrapText="1"/>
    </xf>
    <xf numFmtId="0" fontId="12" fillId="0" borderId="22" xfId="0" applyFont="1" applyFill="1" applyBorder="1" applyAlignment="1">
      <alignment vertical="top" wrapText="1"/>
    </xf>
    <xf numFmtId="0" fontId="12" fillId="0" borderId="23" xfId="0" applyFont="1" applyFill="1" applyBorder="1" applyAlignment="1">
      <alignment horizontal="center" vertical="top" wrapText="1"/>
    </xf>
    <xf numFmtId="0" fontId="0" fillId="0" borderId="0" xfId="0" applyFill="1" applyAlignment="1">
      <alignment horizontal="left"/>
    </xf>
    <xf numFmtId="0" fontId="0" fillId="0" borderId="0" xfId="0" applyFill="1" applyAlignment="1">
      <alignment wrapText="1"/>
    </xf>
    <xf numFmtId="0" fontId="3" fillId="0" borderId="0" xfId="0" applyFont="1" applyFill="1" applyAlignment="1">
      <alignment horizontal="left"/>
    </xf>
    <xf numFmtId="0" fontId="4" fillId="0" borderId="0" xfId="0" applyNumberFormat="1" applyFont="1" applyFill="1"/>
    <xf numFmtId="0" fontId="4" fillId="0" borderId="0" xfId="0" applyFont="1" applyFill="1"/>
    <xf numFmtId="10" fontId="4" fillId="0" borderId="0" xfId="0" applyNumberFormat="1" applyFont="1" applyFill="1"/>
    <xf numFmtId="0" fontId="0" fillId="0" borderId="8" xfId="0" applyFill="1" applyBorder="1"/>
    <xf numFmtId="0" fontId="8" fillId="0" borderId="8" xfId="0" applyFont="1" applyFill="1" applyBorder="1"/>
    <xf numFmtId="0" fontId="11" fillId="0" borderId="28" xfId="0" applyFont="1" applyFill="1" applyBorder="1" applyAlignment="1">
      <alignment horizontal="center" vertical="top" wrapText="1"/>
    </xf>
    <xf numFmtId="0" fontId="12" fillId="0" borderId="21" xfId="0" applyFont="1" applyFill="1" applyBorder="1" applyAlignment="1">
      <alignment horizontal="center" vertical="top" wrapText="1"/>
    </xf>
    <xf numFmtId="0" fontId="12" fillId="0" borderId="25" xfId="0" applyFont="1" applyFill="1" applyBorder="1" applyAlignment="1">
      <alignment vertical="top" wrapText="1"/>
    </xf>
    <xf numFmtId="0" fontId="12" fillId="0" borderId="27" xfId="0" applyFont="1" applyFill="1" applyBorder="1" applyAlignment="1">
      <alignment horizontal="center" vertical="top" wrapText="1"/>
    </xf>
    <xf numFmtId="0" fontId="15" fillId="0" borderId="28" xfId="0" applyFont="1" applyFill="1" applyBorder="1" applyAlignment="1">
      <alignment horizontal="center" vertical="top" wrapText="1"/>
    </xf>
    <xf numFmtId="0" fontId="11" fillId="0" borderId="20" xfId="0" applyFont="1" applyFill="1" applyBorder="1" applyAlignment="1">
      <alignment horizontal="center" vertical="top" wrapText="1"/>
    </xf>
    <xf numFmtId="0" fontId="6" fillId="6" borderId="16" xfId="0" applyFont="1" applyFill="1" applyBorder="1"/>
    <xf numFmtId="0" fontId="19" fillId="6" borderId="17" xfId="0" applyFont="1" applyFill="1" applyBorder="1" applyAlignment="1">
      <alignment vertical="center"/>
    </xf>
    <xf numFmtId="0" fontId="19" fillId="6" borderId="17" xfId="0" applyFont="1" applyFill="1" applyBorder="1" applyAlignment="1"/>
    <xf numFmtId="0" fontId="6" fillId="6" borderId="17" xfId="0" applyFont="1" applyFill="1" applyBorder="1"/>
    <xf numFmtId="0" fontId="0" fillId="6" borderId="0" xfId="0" applyFill="1"/>
    <xf numFmtId="165" fontId="0" fillId="0" borderId="0" xfId="0" applyNumberFormat="1" applyFill="1"/>
    <xf numFmtId="0" fontId="0" fillId="0" borderId="0" xfId="0" applyFont="1" applyFill="1" applyBorder="1" applyProtection="1"/>
    <xf numFmtId="0" fontId="0" fillId="0" borderId="0" xfId="0" applyFont="1" applyFill="1" applyBorder="1"/>
    <xf numFmtId="0" fontId="0" fillId="6" borderId="16" xfId="0" applyFill="1" applyBorder="1"/>
    <xf numFmtId="0" fontId="0" fillId="6" borderId="17" xfId="0" applyFill="1" applyBorder="1"/>
    <xf numFmtId="0" fontId="0" fillId="6" borderId="0" xfId="0" applyFill="1" applyAlignment="1">
      <alignment horizontal="left"/>
    </xf>
    <xf numFmtId="0" fontId="0" fillId="6" borderId="0" xfId="0" applyFill="1" applyAlignment="1">
      <alignment wrapText="1"/>
    </xf>
    <xf numFmtId="10" fontId="0" fillId="6" borderId="0" xfId="0" applyNumberFormat="1" applyFill="1"/>
    <xf numFmtId="0" fontId="0" fillId="6" borderId="17" xfId="0" applyFont="1" applyFill="1" applyBorder="1" applyProtection="1"/>
    <xf numFmtId="0" fontId="0" fillId="6" borderId="17" xfId="0" applyFont="1" applyFill="1" applyBorder="1" applyProtection="1">
      <protection hidden="1"/>
    </xf>
    <xf numFmtId="0" fontId="0" fillId="6" borderId="17" xfId="0" applyFont="1" applyFill="1" applyBorder="1"/>
    <xf numFmtId="0" fontId="10" fillId="10" borderId="33" xfId="0" applyFont="1" applyFill="1" applyBorder="1" applyAlignment="1">
      <alignment horizontal="center" vertical="center" wrapText="1"/>
    </xf>
    <xf numFmtId="0" fontId="26" fillId="0" borderId="0" xfId="0" applyFont="1" applyFill="1" applyAlignment="1">
      <alignment horizontal="left" vertical="top"/>
    </xf>
    <xf numFmtId="0" fontId="0" fillId="6" borderId="0" xfId="0" applyFill="1" applyAlignment="1">
      <alignment horizontal="center"/>
    </xf>
    <xf numFmtId="10" fontId="0" fillId="6" borderId="0" xfId="0" applyNumberFormat="1" applyFill="1" applyAlignment="1">
      <alignment horizontal="center"/>
    </xf>
    <xf numFmtId="0" fontId="41" fillId="0" borderId="0" xfId="0" applyFont="1" applyAlignment="1">
      <alignment horizontal="center"/>
    </xf>
    <xf numFmtId="0" fontId="0" fillId="0" borderId="0" xfId="0" applyFill="1" applyBorder="1" applyProtection="1">
      <protection locked="0"/>
    </xf>
    <xf numFmtId="0" fontId="0" fillId="0" borderId="0" xfId="0" applyFont="1" applyFill="1" applyBorder="1" applyProtection="1">
      <protection locked="0"/>
    </xf>
    <xf numFmtId="0" fontId="0" fillId="6" borderId="0" xfId="0" applyFill="1" applyProtection="1">
      <protection locked="0"/>
    </xf>
    <xf numFmtId="0" fontId="0" fillId="0" borderId="0" xfId="0" applyFill="1" applyProtection="1">
      <protection locked="0"/>
    </xf>
    <xf numFmtId="0" fontId="0" fillId="0" borderId="0" xfId="0" applyFill="1" applyProtection="1"/>
    <xf numFmtId="0" fontId="3" fillId="0" borderId="0" xfId="0" applyFont="1" applyFill="1" applyProtection="1">
      <protection locked="0"/>
    </xf>
    <xf numFmtId="0" fontId="0" fillId="9" borderId="1" xfId="0" applyFill="1" applyBorder="1" applyProtection="1">
      <protection locked="0"/>
    </xf>
    <xf numFmtId="0" fontId="0" fillId="0" borderId="1" xfId="0" applyFill="1" applyBorder="1" applyProtection="1">
      <protection locked="0"/>
    </xf>
    <xf numFmtId="0" fontId="0" fillId="0" borderId="0" xfId="0" applyFill="1" applyAlignment="1" applyProtection="1">
      <alignment horizontal="center"/>
      <protection locked="0"/>
    </xf>
    <xf numFmtId="165" fontId="6" fillId="0" borderId="0" xfId="0" applyNumberFormat="1" applyFont="1" applyFill="1" applyBorder="1" applyAlignment="1" applyProtection="1">
      <alignment horizontal="center"/>
      <protection locked="0"/>
    </xf>
    <xf numFmtId="0" fontId="0" fillId="0" borderId="0" xfId="0" applyFont="1" applyAlignment="1" applyProtection="1">
      <alignment horizontal="left"/>
      <protection locked="0"/>
    </xf>
    <xf numFmtId="0" fontId="30" fillId="0" borderId="0" xfId="0" applyFont="1" applyAlignment="1" applyProtection="1">
      <alignment horizontal="left"/>
      <protection locked="0"/>
    </xf>
    <xf numFmtId="0" fontId="0" fillId="0" borderId="0" xfId="0" applyFont="1" applyProtection="1">
      <protection locked="0"/>
    </xf>
    <xf numFmtId="0" fontId="0" fillId="5" borderId="0" xfId="0" applyFont="1" applyFill="1" applyAlignment="1" applyProtection="1">
      <alignment horizontal="left"/>
      <protection locked="0"/>
    </xf>
    <xf numFmtId="0" fontId="0" fillId="5" borderId="0" xfId="0" applyFont="1" applyFill="1" applyAlignment="1" applyProtection="1">
      <alignment wrapText="1"/>
      <protection locked="0"/>
    </xf>
    <xf numFmtId="0" fontId="10" fillId="10" borderId="10" xfId="0" applyFont="1" applyFill="1" applyBorder="1" applyAlignment="1">
      <alignment horizontal="center" vertical="center" wrapText="1"/>
    </xf>
    <xf numFmtId="0" fontId="42" fillId="0" borderId="0" xfId="0" applyFont="1" applyFill="1" applyAlignment="1">
      <alignment horizontal="right"/>
    </xf>
    <xf numFmtId="0" fontId="46" fillId="10" borderId="43" xfId="0" applyFont="1" applyFill="1" applyBorder="1" applyAlignment="1">
      <alignment horizontal="center" vertical="center" wrapText="1"/>
    </xf>
    <xf numFmtId="0" fontId="48" fillId="10" borderId="33" xfId="0" applyFont="1" applyFill="1" applyBorder="1" applyAlignment="1">
      <alignment horizontal="center" vertical="center" wrapText="1"/>
    </xf>
    <xf numFmtId="0" fontId="45" fillId="8" borderId="9" xfId="0" applyFont="1" applyFill="1" applyBorder="1" applyAlignment="1" applyProtection="1">
      <alignment horizontal="center" vertical="center"/>
      <protection locked="0"/>
    </xf>
    <xf numFmtId="0" fontId="19" fillId="0" borderId="0" xfId="0" applyFont="1" applyFill="1"/>
    <xf numFmtId="0" fontId="48" fillId="11" borderId="43" xfId="0" applyFont="1" applyFill="1" applyBorder="1" applyAlignment="1" applyProtection="1">
      <alignment horizontal="center" vertical="center" wrapText="1"/>
      <protection locked="0"/>
    </xf>
    <xf numFmtId="0" fontId="48" fillId="10" borderId="31" xfId="0" applyFont="1" applyFill="1" applyBorder="1" applyAlignment="1" applyProtection="1">
      <alignment horizontal="center" vertical="center" wrapText="1"/>
      <protection locked="0"/>
    </xf>
    <xf numFmtId="0" fontId="48" fillId="10" borderId="43" xfId="0" applyFont="1" applyFill="1" applyBorder="1" applyAlignment="1" applyProtection="1">
      <alignment horizontal="center" vertical="center" wrapText="1"/>
      <protection locked="0"/>
    </xf>
    <xf numFmtId="0" fontId="42" fillId="0" borderId="0" xfId="0" applyFont="1" applyFill="1" applyAlignment="1">
      <alignment horizontal="left"/>
    </xf>
    <xf numFmtId="0" fontId="3" fillId="0" borderId="0" xfId="0" applyFont="1" applyFill="1" applyBorder="1" applyAlignment="1">
      <alignment horizontal="left"/>
    </xf>
    <xf numFmtId="0" fontId="0" fillId="0" borderId="0" xfId="0" applyFill="1" applyBorder="1" applyAlignment="1">
      <alignment horizontal="center" vertical="center"/>
    </xf>
    <xf numFmtId="0" fontId="2" fillId="5" borderId="0" xfId="0" applyFont="1" applyFill="1" applyBorder="1"/>
    <xf numFmtId="0" fontId="10" fillId="10" borderId="9" xfId="0" applyFont="1" applyFill="1" applyBorder="1" applyAlignment="1" applyProtection="1">
      <alignment horizontal="center" vertical="center" wrapText="1"/>
      <protection locked="0"/>
    </xf>
    <xf numFmtId="0" fontId="18" fillId="0" borderId="0" xfId="0" applyFont="1" applyFill="1"/>
    <xf numFmtId="0" fontId="18" fillId="0" borderId="0" xfId="0" applyFont="1" applyFill="1" applyBorder="1"/>
    <xf numFmtId="0" fontId="18" fillId="0" borderId="0" xfId="0" applyFont="1" applyFill="1" applyAlignment="1">
      <alignment horizontal="left"/>
    </xf>
    <xf numFmtId="0" fontId="18" fillId="0" borderId="0" xfId="0" applyFont="1" applyFill="1" applyAlignment="1">
      <alignment wrapText="1"/>
    </xf>
    <xf numFmtId="0" fontId="18" fillId="0" borderId="0" xfId="0" applyFont="1" applyFill="1" applyAlignment="1">
      <alignment horizontal="center"/>
    </xf>
    <xf numFmtId="0" fontId="2" fillId="0" borderId="0" xfId="0" applyFont="1" applyFill="1" applyProtection="1">
      <protection locked="0"/>
    </xf>
    <xf numFmtId="0" fontId="2" fillId="6" borderId="0" xfId="0" applyFont="1" applyFill="1" applyProtection="1">
      <protection locked="0"/>
    </xf>
    <xf numFmtId="0" fontId="2" fillId="6" borderId="0" xfId="0" applyFont="1" applyFill="1"/>
    <xf numFmtId="0" fontId="2" fillId="0" borderId="0" xfId="0" applyFont="1" applyFill="1" applyBorder="1"/>
    <xf numFmtId="0" fontId="0" fillId="0" borderId="47" xfId="0" applyBorder="1"/>
    <xf numFmtId="0" fontId="2" fillId="6" borderId="0" xfId="0" applyFont="1" applyFill="1" applyBorder="1" applyProtection="1"/>
    <xf numFmtId="0" fontId="2" fillId="0" borderId="0" xfId="0" applyFont="1" applyFill="1" applyBorder="1" applyProtection="1"/>
    <xf numFmtId="0" fontId="53" fillId="5" borderId="0" xfId="0" applyFont="1" applyFill="1" applyBorder="1"/>
    <xf numFmtId="0" fontId="40" fillId="0" borderId="0" xfId="4" applyFill="1" applyAlignment="1">
      <alignment vertical="top" wrapText="1"/>
    </xf>
    <xf numFmtId="0" fontId="40" fillId="0" borderId="0" xfId="4" applyFill="1"/>
    <xf numFmtId="0" fontId="40" fillId="0" borderId="0" xfId="4" applyFill="1" applyAlignment="1"/>
    <xf numFmtId="0" fontId="53" fillId="0" borderId="0" xfId="0" applyFont="1" applyFill="1" applyBorder="1"/>
    <xf numFmtId="0" fontId="48" fillId="10" borderId="9" xfId="0" applyFont="1" applyFill="1" applyBorder="1" applyAlignment="1" applyProtection="1">
      <alignment horizontal="center" vertical="center"/>
      <protection locked="0"/>
    </xf>
    <xf numFmtId="0" fontId="2" fillId="10" borderId="47" xfId="0" applyFont="1" applyFill="1" applyBorder="1" applyAlignment="1">
      <alignment horizontal="center" wrapText="1"/>
    </xf>
    <xf numFmtId="0" fontId="18" fillId="0" borderId="0" xfId="0" applyFont="1" applyFill="1" applyProtection="1">
      <protection locked="0"/>
    </xf>
    <xf numFmtId="0" fontId="18" fillId="0" borderId="0" xfId="0" applyFont="1" applyFill="1" applyBorder="1" applyProtection="1"/>
    <xf numFmtId="0" fontId="18" fillId="0" borderId="0" xfId="0" applyFont="1" applyFill="1" applyProtection="1"/>
    <xf numFmtId="0" fontId="52" fillId="0" borderId="0" xfId="0" applyFont="1" applyFill="1" applyProtection="1"/>
    <xf numFmtId="0" fontId="18" fillId="6" borderId="0" xfId="0" applyFont="1" applyFill="1"/>
    <xf numFmtId="0" fontId="0" fillId="0" borderId="0" xfId="0" applyBorder="1"/>
    <xf numFmtId="0" fontId="5" fillId="5" borderId="11" xfId="0" applyFont="1" applyFill="1" applyBorder="1"/>
    <xf numFmtId="0" fontId="0" fillId="5" borderId="0" xfId="0" applyFill="1" applyBorder="1"/>
    <xf numFmtId="0" fontId="0" fillId="5" borderId="5" xfId="0" applyFill="1" applyBorder="1"/>
    <xf numFmtId="0" fontId="0" fillId="5" borderId="11" xfId="0" applyFill="1" applyBorder="1"/>
    <xf numFmtId="0" fontId="0" fillId="5" borderId="0" xfId="0" applyFill="1" applyBorder="1" applyAlignment="1">
      <alignment wrapText="1"/>
    </xf>
    <xf numFmtId="0" fontId="40" fillId="0" borderId="0" xfId="4" applyFill="1" applyBorder="1"/>
    <xf numFmtId="0" fontId="40" fillId="0" borderId="5" xfId="4" applyFill="1" applyBorder="1"/>
    <xf numFmtId="0" fontId="53" fillId="0" borderId="5" xfId="0" applyFont="1" applyFill="1" applyBorder="1"/>
    <xf numFmtId="0" fontId="0" fillId="0" borderId="10" xfId="0" applyFill="1" applyBorder="1"/>
    <xf numFmtId="0" fontId="0" fillId="0" borderId="3" xfId="0" applyFill="1" applyBorder="1"/>
    <xf numFmtId="0" fontId="0" fillId="0" borderId="4" xfId="0" applyFill="1" applyBorder="1"/>
    <xf numFmtId="0" fontId="0" fillId="0" borderId="11" xfId="0" applyFill="1" applyBorder="1"/>
    <xf numFmtId="0" fontId="0" fillId="0" borderId="5" xfId="0" applyFill="1" applyBorder="1"/>
    <xf numFmtId="0" fontId="40" fillId="0" borderId="0" xfId="4" applyFill="1" applyBorder="1" applyAlignment="1">
      <alignment vertical="top" wrapText="1"/>
    </xf>
    <xf numFmtId="0" fontId="40" fillId="0" borderId="5" xfId="4" applyFill="1" applyBorder="1" applyAlignment="1">
      <alignment vertical="top" wrapText="1"/>
    </xf>
    <xf numFmtId="0" fontId="0" fillId="0" borderId="12" xfId="0" applyFill="1" applyBorder="1"/>
    <xf numFmtId="0" fontId="0" fillId="0" borderId="6" xfId="0" applyFill="1" applyBorder="1"/>
    <xf numFmtId="0" fontId="40" fillId="0" borderId="6" xfId="4" applyFill="1" applyBorder="1" applyAlignment="1">
      <alignment vertical="top" wrapText="1"/>
    </xf>
    <xf numFmtId="0" fontId="40" fillId="0" borderId="7" xfId="4" applyFill="1" applyBorder="1" applyAlignment="1">
      <alignment vertical="top" wrapText="1"/>
    </xf>
    <xf numFmtId="0" fontId="42" fillId="0" borderId="0" xfId="0" applyFont="1" applyFill="1" applyBorder="1" applyAlignment="1">
      <alignment horizontal="right"/>
    </xf>
    <xf numFmtId="0" fontId="42" fillId="0" borderId="0" xfId="0" applyFont="1" applyFill="1" applyBorder="1"/>
    <xf numFmtId="0" fontId="9" fillId="0" borderId="0" xfId="0" applyFont="1" applyFill="1" applyBorder="1"/>
    <xf numFmtId="0" fontId="12" fillId="0" borderId="26" xfId="0" applyFont="1" applyFill="1" applyBorder="1" applyAlignment="1">
      <alignment horizontal="center" vertical="top" wrapText="1"/>
    </xf>
    <xf numFmtId="0" fontId="14" fillId="0" borderId="0" xfId="0" applyFont="1" applyFill="1" applyBorder="1" applyAlignment="1">
      <alignment vertical="top" wrapText="1"/>
    </xf>
    <xf numFmtId="0" fontId="60" fillId="0" borderId="0" xfId="0" applyFont="1" applyFill="1" applyBorder="1"/>
    <xf numFmtId="0" fontId="61" fillId="5" borderId="0" xfId="0" applyFont="1" applyFill="1" applyBorder="1" applyAlignment="1">
      <alignment vertical="top" wrapText="1"/>
    </xf>
    <xf numFmtId="0" fontId="3" fillId="0" borderId="0" xfId="0" applyFont="1" applyFill="1" applyAlignment="1">
      <alignment horizontal="left" vertical="top" wrapText="1"/>
    </xf>
    <xf numFmtId="0" fontId="42" fillId="0" borderId="0" xfId="0" applyFont="1" applyFill="1"/>
    <xf numFmtId="0" fontId="9" fillId="0" borderId="0" xfId="0" applyFont="1" applyFill="1" applyAlignment="1">
      <alignment horizontal="left" vertical="top"/>
    </xf>
    <xf numFmtId="0" fontId="43" fillId="0" borderId="19" xfId="0" applyFont="1" applyBorder="1"/>
    <xf numFmtId="0" fontId="43" fillId="0" borderId="20" xfId="0" applyFont="1" applyBorder="1"/>
    <xf numFmtId="0" fontId="43" fillId="0" borderId="21" xfId="0" applyFont="1" applyBorder="1"/>
    <xf numFmtId="0" fontId="0" fillId="0" borderId="22" xfId="0" applyBorder="1"/>
    <xf numFmtId="0" fontId="0" fillId="0" borderId="23" xfId="0" applyBorder="1"/>
    <xf numFmtId="0" fontId="0" fillId="0" borderId="25" xfId="0" applyBorder="1"/>
    <xf numFmtId="0" fontId="0" fillId="0" borderId="26" xfId="0" applyBorder="1"/>
    <xf numFmtId="0" fontId="0" fillId="0" borderId="27" xfId="0" applyBorder="1"/>
    <xf numFmtId="0" fontId="0" fillId="6" borderId="47" xfId="0" applyFill="1" applyBorder="1" applyAlignment="1">
      <alignment horizontal="center"/>
    </xf>
    <xf numFmtId="0" fontId="0" fillId="6" borderId="26" xfId="0" applyFill="1" applyBorder="1" applyAlignment="1">
      <alignment horizontal="center"/>
    </xf>
    <xf numFmtId="0" fontId="12" fillId="6" borderId="20" xfId="0" applyFont="1" applyFill="1" applyBorder="1" applyAlignment="1">
      <alignment horizontal="center" vertical="top" wrapText="1"/>
    </xf>
    <xf numFmtId="0" fontId="12" fillId="6" borderId="1" xfId="0" applyFont="1" applyFill="1" applyBorder="1" applyAlignment="1">
      <alignment horizontal="center" vertical="top" wrapText="1"/>
    </xf>
    <xf numFmtId="0" fontId="12" fillId="6" borderId="26" xfId="0" applyFont="1" applyFill="1" applyBorder="1" applyAlignment="1">
      <alignment horizontal="center" vertical="top" wrapText="1"/>
    </xf>
    <xf numFmtId="0" fontId="63" fillId="0" borderId="0" xfId="0" applyFont="1" applyFill="1"/>
    <xf numFmtId="0" fontId="11" fillId="0" borderId="51" xfId="0" applyFont="1" applyFill="1" applyBorder="1" applyAlignment="1">
      <alignment horizontal="center" vertical="top" wrapText="1"/>
    </xf>
    <xf numFmtId="0" fontId="11" fillId="0" borderId="5" xfId="0" applyFont="1" applyFill="1" applyBorder="1" applyAlignment="1">
      <alignment horizontal="center" vertical="top" wrapText="1"/>
    </xf>
    <xf numFmtId="0" fontId="11" fillId="8" borderId="21" xfId="0" applyFont="1" applyFill="1" applyBorder="1" applyAlignment="1">
      <alignment horizontal="left" vertical="top" wrapText="1" indent="4"/>
    </xf>
    <xf numFmtId="0" fontId="12" fillId="0" borderId="47" xfId="0" applyFont="1" applyFill="1" applyBorder="1" applyAlignment="1">
      <alignment horizontal="center" vertical="top" wrapText="1"/>
    </xf>
    <xf numFmtId="0" fontId="12" fillId="8" borderId="23" xfId="0" applyFont="1" applyFill="1" applyBorder="1" applyAlignment="1">
      <alignment horizontal="left" vertical="top" wrapText="1" indent="4"/>
    </xf>
    <xf numFmtId="0" fontId="11" fillId="0" borderId="47" xfId="0" applyFont="1" applyFill="1" applyBorder="1" applyAlignment="1">
      <alignment horizontal="center" vertical="top" wrapText="1"/>
    </xf>
    <xf numFmtId="0" fontId="11" fillId="8" borderId="23" xfId="0" applyFont="1" applyFill="1" applyBorder="1" applyAlignment="1">
      <alignment horizontal="left" vertical="top" wrapText="1" indent="4"/>
    </xf>
    <xf numFmtId="0" fontId="12" fillId="8" borderId="27" xfId="0" applyFont="1" applyFill="1" applyBorder="1" applyAlignment="1">
      <alignment horizontal="left" vertical="top" wrapText="1" indent="4"/>
    </xf>
    <xf numFmtId="0" fontId="37" fillId="0" borderId="0" xfId="0" applyFont="1" applyFill="1" applyAlignment="1"/>
    <xf numFmtId="0" fontId="9" fillId="0" borderId="0" xfId="0" applyFont="1" applyFill="1" applyAlignment="1">
      <alignment vertical="top" wrapText="1"/>
    </xf>
    <xf numFmtId="0" fontId="5" fillId="0" borderId="0" xfId="0" applyFont="1" applyFill="1"/>
    <xf numFmtId="0" fontId="67" fillId="0" borderId="0" xfId="0" applyFont="1" applyFill="1" applyAlignment="1"/>
    <xf numFmtId="0" fontId="71" fillId="0" borderId="0" xfId="0" applyFont="1" applyFill="1"/>
    <xf numFmtId="0" fontId="69" fillId="0" borderId="29" xfId="0" applyFont="1" applyBorder="1" applyAlignment="1">
      <alignment horizontal="center" vertical="center" wrapText="1"/>
    </xf>
    <xf numFmtId="0" fontId="69" fillId="0" borderId="61" xfId="0" applyFont="1" applyBorder="1" applyAlignment="1">
      <alignment vertical="top" wrapText="1"/>
    </xf>
    <xf numFmtId="0" fontId="69" fillId="0" borderId="61" xfId="0" applyFont="1" applyBorder="1" applyAlignment="1">
      <alignment wrapText="1"/>
    </xf>
    <xf numFmtId="0" fontId="69" fillId="0" borderId="7" xfId="0" applyFont="1" applyBorder="1" applyAlignment="1">
      <alignment wrapText="1"/>
    </xf>
    <xf numFmtId="0" fontId="12" fillId="8" borderId="63" xfId="0" applyFont="1" applyFill="1" applyBorder="1" applyAlignment="1">
      <alignment horizontal="left" vertical="top" wrapText="1" indent="4"/>
    </xf>
    <xf numFmtId="0" fontId="11" fillId="0" borderId="9" xfId="0" applyFont="1" applyFill="1" applyBorder="1" applyAlignment="1">
      <alignment horizontal="center" vertical="top" wrapText="1"/>
    </xf>
    <xf numFmtId="0" fontId="11" fillId="0" borderId="18" xfId="0" applyFont="1" applyFill="1" applyBorder="1" applyAlignment="1">
      <alignment horizontal="center" vertical="top" wrapText="1"/>
    </xf>
    <xf numFmtId="0" fontId="69" fillId="0" borderId="60" xfId="0" applyFont="1" applyBorder="1" applyAlignment="1">
      <alignment horizontal="left" wrapText="1"/>
    </xf>
    <xf numFmtId="0" fontId="69" fillId="0" borderId="60" xfId="0" applyFont="1" applyBorder="1" applyAlignment="1">
      <alignment horizontal="left" vertical="top" wrapText="1"/>
    </xf>
    <xf numFmtId="0" fontId="69" fillId="0" borderId="62" xfId="0" applyFont="1" applyBorder="1" applyAlignment="1">
      <alignment horizontal="left" vertical="top" wrapText="1"/>
    </xf>
    <xf numFmtId="0" fontId="12" fillId="0" borderId="23" xfId="0" applyFont="1" applyBorder="1" applyAlignment="1">
      <alignment vertical="center" wrapText="1"/>
    </xf>
    <xf numFmtId="0" fontId="12" fillId="0" borderId="64" xfId="0" applyFont="1" applyBorder="1" applyAlignment="1">
      <alignment vertical="center" wrapText="1"/>
    </xf>
    <xf numFmtId="0" fontId="12" fillId="0" borderId="27" xfId="0" applyFont="1" applyBorder="1" applyAlignment="1">
      <alignment vertical="center" wrapText="1"/>
    </xf>
    <xf numFmtId="0" fontId="12" fillId="0" borderId="66" xfId="0" applyFont="1" applyBorder="1" applyAlignment="1">
      <alignment vertical="center" wrapText="1"/>
    </xf>
    <xf numFmtId="0" fontId="12" fillId="8" borderId="67" xfId="0" applyFont="1" applyFill="1" applyBorder="1" applyAlignment="1">
      <alignment horizontal="left" vertical="top" wrapText="1" indent="4"/>
    </xf>
    <xf numFmtId="0" fontId="12" fillId="0" borderId="47" xfId="0" applyFont="1" applyBorder="1" applyAlignment="1">
      <alignment horizontal="left" vertical="center" wrapText="1"/>
    </xf>
    <xf numFmtId="0" fontId="12" fillId="0" borderId="53" xfId="0" applyFont="1" applyBorder="1" applyAlignment="1">
      <alignment horizontal="left" vertical="center" wrapText="1"/>
    </xf>
    <xf numFmtId="0" fontId="12" fillId="0" borderId="26" xfId="0" applyFont="1" applyBorder="1" applyAlignment="1">
      <alignment horizontal="left" vertical="center" wrapText="1"/>
    </xf>
    <xf numFmtId="0" fontId="12" fillId="8" borderId="23" xfId="0" applyFont="1" applyFill="1" applyBorder="1" applyAlignment="1">
      <alignment horizontal="center" vertical="center" wrapText="1"/>
    </xf>
    <xf numFmtId="0" fontId="12" fillId="8" borderId="63" xfId="0" applyFont="1" applyFill="1" applyBorder="1" applyAlignment="1">
      <alignment horizontal="center" vertical="center" wrapText="1"/>
    </xf>
    <xf numFmtId="0" fontId="0" fillId="0" borderId="0" xfId="0" applyFill="1" applyAlignment="1"/>
    <xf numFmtId="0" fontId="18" fillId="0" borderId="0" xfId="0" applyFont="1"/>
    <xf numFmtId="0" fontId="0" fillId="6" borderId="10" xfId="0" applyFill="1" applyBorder="1"/>
    <xf numFmtId="0" fontId="0" fillId="6" borderId="3" xfId="0" applyFill="1" applyBorder="1"/>
    <xf numFmtId="0" fontId="0" fillId="6" borderId="4" xfId="0" applyFill="1" applyBorder="1"/>
    <xf numFmtId="0" fontId="0" fillId="6" borderId="11" xfId="0" applyFill="1" applyBorder="1"/>
    <xf numFmtId="0" fontId="0" fillId="6" borderId="0" xfId="0" applyFill="1" applyBorder="1"/>
    <xf numFmtId="0" fontId="0" fillId="6" borderId="5" xfId="0" applyFill="1" applyBorder="1"/>
    <xf numFmtId="0" fontId="3" fillId="6" borderId="0" xfId="0" applyFont="1" applyFill="1" applyBorder="1"/>
    <xf numFmtId="3" fontId="9" fillId="6" borderId="47" xfId="0" applyNumberFormat="1" applyFont="1" applyFill="1" applyBorder="1" applyAlignment="1">
      <alignment horizontal="center" vertical="center"/>
    </xf>
    <xf numFmtId="167" fontId="9" fillId="6" borderId="47" xfId="0" applyNumberFormat="1" applyFont="1" applyFill="1" applyBorder="1" applyAlignment="1">
      <alignment horizontal="center" vertical="center"/>
    </xf>
    <xf numFmtId="167" fontId="9" fillId="6" borderId="20" xfId="0" applyNumberFormat="1" applyFont="1" applyFill="1" applyBorder="1" applyAlignment="1">
      <alignment horizontal="center" vertical="center"/>
    </xf>
    <xf numFmtId="0" fontId="18" fillId="6" borderId="0" xfId="0" applyFont="1" applyFill="1" applyBorder="1" applyAlignment="1">
      <alignment wrapText="1"/>
    </xf>
    <xf numFmtId="167" fontId="9" fillId="6" borderId="26" xfId="0" applyNumberFormat="1" applyFont="1" applyFill="1" applyBorder="1" applyAlignment="1">
      <alignment horizontal="center" vertical="center"/>
    </xf>
    <xf numFmtId="0" fontId="3" fillId="6" borderId="0" xfId="0" applyFont="1" applyFill="1" applyBorder="1" applyAlignment="1"/>
    <xf numFmtId="0" fontId="0" fillId="6" borderId="12" xfId="0" applyFill="1" applyBorder="1"/>
    <xf numFmtId="0" fontId="0" fillId="6" borderId="6" xfId="0" applyFill="1" applyBorder="1"/>
    <xf numFmtId="0" fontId="0" fillId="6" borderId="7" xfId="0" applyFill="1" applyBorder="1"/>
    <xf numFmtId="0" fontId="46" fillId="10" borderId="43" xfId="0" applyFont="1" applyFill="1" applyBorder="1" applyAlignment="1">
      <alignment horizontal="right" vertical="center" wrapText="1"/>
    </xf>
    <xf numFmtId="4" fontId="9" fillId="6" borderId="20" xfId="0" applyNumberFormat="1" applyFont="1" applyFill="1" applyBorder="1" applyAlignment="1">
      <alignment horizontal="center" vertical="center"/>
    </xf>
    <xf numFmtId="4" fontId="9" fillId="6" borderId="26" xfId="0" applyNumberFormat="1" applyFont="1" applyFill="1" applyBorder="1" applyAlignment="1">
      <alignment horizontal="center" vertical="center"/>
    </xf>
    <xf numFmtId="0" fontId="57" fillId="10" borderId="9" xfId="0" applyFont="1" applyFill="1" applyBorder="1" applyAlignment="1">
      <alignment horizontal="center" vertical="center" wrapText="1"/>
    </xf>
    <xf numFmtId="0" fontId="10" fillId="10" borderId="9" xfId="0" applyFont="1" applyFill="1" applyBorder="1" applyAlignment="1">
      <alignment horizontal="center" vertical="center" wrapText="1"/>
    </xf>
    <xf numFmtId="0" fontId="0" fillId="0" borderId="0" xfId="0" applyNumberFormat="1"/>
    <xf numFmtId="0" fontId="0" fillId="9" borderId="18" xfId="0" applyFill="1" applyBorder="1" applyAlignment="1" applyProtection="1">
      <alignment horizontal="center" vertical="center"/>
      <protection locked="0"/>
    </xf>
    <xf numFmtId="0" fontId="48" fillId="0" borderId="0" xfId="0" applyFont="1" applyFill="1" applyBorder="1" applyAlignment="1">
      <alignment horizontal="center" vertical="center" wrapText="1"/>
    </xf>
    <xf numFmtId="0" fontId="2" fillId="5" borderId="0" xfId="0" applyFont="1" applyFill="1"/>
    <xf numFmtId="0" fontId="2" fillId="0" borderId="0" xfId="0" applyFont="1"/>
    <xf numFmtId="0" fontId="75" fillId="0" borderId="0" xfId="0" applyFont="1" applyAlignment="1">
      <alignment horizontal="left"/>
    </xf>
    <xf numFmtId="0" fontId="10" fillId="15" borderId="16" xfId="0" applyFont="1" applyFill="1" applyBorder="1" applyAlignment="1" applyProtection="1">
      <alignment horizontal="center" vertical="center" wrapText="1"/>
    </xf>
    <xf numFmtId="0" fontId="42" fillId="0" borderId="0" xfId="0" applyFont="1" applyFill="1" applyBorder="1" applyAlignment="1" applyProtection="1">
      <alignment vertical="center" wrapText="1"/>
    </xf>
    <xf numFmtId="0" fontId="42" fillId="0" borderId="0" xfId="0" applyFont="1" applyFill="1" applyProtection="1"/>
    <xf numFmtId="0" fontId="9" fillId="0" borderId="0" xfId="0" applyFont="1" applyFill="1" applyProtection="1"/>
    <xf numFmtId="0" fontId="0" fillId="0" borderId="0" xfId="0" applyFont="1" applyFill="1"/>
    <xf numFmtId="4" fontId="9" fillId="6" borderId="70" xfId="0" applyNumberFormat="1" applyFont="1" applyFill="1" applyBorder="1" applyAlignment="1">
      <alignment horizontal="center" vertical="center"/>
    </xf>
    <xf numFmtId="0" fontId="46" fillId="10" borderId="9" xfId="0" applyFont="1" applyFill="1" applyBorder="1" applyAlignment="1">
      <alignment horizontal="center" vertical="center" wrapText="1"/>
    </xf>
    <xf numFmtId="0" fontId="10" fillId="21" borderId="0" xfId="0" applyFont="1" applyFill="1" applyBorder="1" applyAlignment="1" applyProtection="1">
      <alignment horizontal="center" vertical="top" wrapText="1"/>
    </xf>
    <xf numFmtId="165" fontId="0" fillId="6" borderId="0" xfId="0" applyNumberFormat="1" applyFill="1" applyBorder="1"/>
    <xf numFmtId="0" fontId="0" fillId="6" borderId="0" xfId="0" applyFill="1" applyAlignment="1" applyProtection="1">
      <alignment horizontal="center"/>
      <protection locked="0"/>
    </xf>
    <xf numFmtId="0" fontId="10" fillId="15" borderId="70" xfId="0" applyFont="1" applyFill="1" applyBorder="1" applyAlignment="1" applyProtection="1">
      <alignment horizontal="center" vertical="center" wrapText="1"/>
    </xf>
    <xf numFmtId="0" fontId="10" fillId="15" borderId="47" xfId="0" applyFont="1" applyFill="1" applyBorder="1" applyAlignment="1" applyProtection="1">
      <alignment horizontal="center" vertical="center" wrapText="1"/>
    </xf>
    <xf numFmtId="0" fontId="10" fillId="15" borderId="48" xfId="0" applyFont="1" applyFill="1" applyBorder="1" applyAlignment="1" applyProtection="1">
      <alignment horizontal="center" vertical="center"/>
    </xf>
    <xf numFmtId="0" fontId="18" fillId="5" borderId="0" xfId="0" applyFont="1" applyFill="1" applyBorder="1"/>
    <xf numFmtId="0" fontId="6" fillId="0" borderId="0" xfId="0" applyFont="1" applyFill="1" applyBorder="1" applyProtection="1">
      <protection locked="0"/>
    </xf>
    <xf numFmtId="0" fontId="27" fillId="0" borderId="0" xfId="0" applyFont="1" applyFill="1" applyBorder="1" applyAlignment="1" applyProtection="1">
      <alignment vertical="center" wrapText="1"/>
    </xf>
    <xf numFmtId="0" fontId="6" fillId="0" borderId="0" xfId="0" applyFont="1" applyFill="1" applyBorder="1" applyProtection="1"/>
    <xf numFmtId="0" fontId="39" fillId="0" borderId="0" xfId="0" applyFont="1" applyFill="1" applyBorder="1" applyProtection="1"/>
    <xf numFmtId="0" fontId="6" fillId="0" borderId="0" xfId="0" applyFont="1" applyFill="1" applyBorder="1" applyAlignment="1" applyProtection="1">
      <alignment wrapText="1"/>
    </xf>
    <xf numFmtId="0" fontId="19" fillId="0" borderId="0" xfId="0" applyFont="1" applyFill="1" applyBorder="1" applyAlignment="1" applyProtection="1">
      <alignment vertical="center"/>
      <protection locked="0"/>
    </xf>
    <xf numFmtId="0" fontId="19" fillId="0" borderId="0" xfId="0" applyFont="1" applyFill="1" applyBorder="1" applyAlignment="1" applyProtection="1">
      <protection locked="0"/>
    </xf>
    <xf numFmtId="0" fontId="37" fillId="0" borderId="0" xfId="0" applyFont="1" applyFill="1" applyAlignment="1" applyProtection="1">
      <alignment horizontal="left"/>
      <protection locked="0"/>
    </xf>
    <xf numFmtId="0" fontId="0" fillId="0" borderId="0" xfId="0" applyProtection="1">
      <protection locked="0"/>
    </xf>
    <xf numFmtId="0" fontId="6" fillId="0" borderId="0" xfId="0" applyFont="1" applyProtection="1">
      <protection locked="0"/>
    </xf>
    <xf numFmtId="0" fontId="9" fillId="0" borderId="0" xfId="0" applyFont="1" applyAlignment="1" applyProtection="1">
      <alignment vertical="top" wrapText="1"/>
      <protection locked="0"/>
    </xf>
    <xf numFmtId="0" fontId="0" fillId="0" borderId="0" xfId="0" applyFont="1" applyAlignment="1" applyProtection="1">
      <alignment wrapText="1"/>
      <protection locked="0"/>
    </xf>
    <xf numFmtId="0" fontId="6" fillId="0" borderId="0" xfId="0" applyFont="1" applyAlignment="1" applyProtection="1">
      <alignment wrapText="1"/>
      <protection locked="0"/>
    </xf>
    <xf numFmtId="0" fontId="6" fillId="0" borderId="0" xfId="0" applyFont="1" applyAlignment="1" applyProtection="1">
      <alignment horizontal="left"/>
      <protection locked="0"/>
    </xf>
    <xf numFmtId="0" fontId="0" fillId="0" borderId="0" xfId="0" applyFont="1" applyBorder="1" applyAlignment="1" applyProtection="1">
      <alignment horizontal="left"/>
      <protection locked="0"/>
    </xf>
    <xf numFmtId="165" fontId="21" fillId="0" borderId="0" xfId="3" applyNumberFormat="1" applyFont="1" applyBorder="1" applyAlignment="1" applyProtection="1">
      <alignment horizontal="left" wrapText="1"/>
      <protection locked="0"/>
    </xf>
    <xf numFmtId="165" fontId="23" fillId="0" borderId="0" xfId="3" applyNumberFormat="1" applyFont="1" applyBorder="1" applyAlignment="1" applyProtection="1">
      <alignment horizontal="left" wrapText="1"/>
      <protection locked="0"/>
    </xf>
    <xf numFmtId="0" fontId="0" fillId="0" borderId="0" xfId="0" applyFont="1" applyBorder="1" applyProtection="1">
      <protection locked="0"/>
    </xf>
    <xf numFmtId="0" fontId="18" fillId="0" borderId="0" xfId="0" applyFont="1" applyProtection="1">
      <protection locked="0"/>
    </xf>
    <xf numFmtId="0" fontId="0" fillId="0" borderId="11" xfId="0" applyFont="1" applyBorder="1" applyProtection="1">
      <protection locked="0"/>
    </xf>
    <xf numFmtId="165" fontId="24" fillId="0" borderId="0" xfId="0" applyNumberFormat="1" applyFont="1" applyBorder="1" applyProtection="1">
      <protection locked="0"/>
    </xf>
    <xf numFmtId="0" fontId="24" fillId="0" borderId="0" xfId="0" applyFont="1" applyBorder="1" applyProtection="1">
      <protection locked="0"/>
    </xf>
    <xf numFmtId="0" fontId="0" fillId="0" borderId="0" xfId="0" applyFont="1" applyFill="1" applyAlignment="1" applyProtection="1">
      <alignment horizontal="left"/>
      <protection locked="0"/>
    </xf>
    <xf numFmtId="165" fontId="25" fillId="0" borderId="0" xfId="0" applyNumberFormat="1" applyFont="1" applyFill="1" applyBorder="1" applyAlignment="1" applyProtection="1">
      <alignment horizontal="center" vertical="center" wrapText="1"/>
      <protection locked="0"/>
    </xf>
    <xf numFmtId="165" fontId="25" fillId="13" borderId="0" xfId="0" applyNumberFormat="1" applyFont="1" applyFill="1" applyBorder="1" applyAlignment="1" applyProtection="1">
      <alignment horizontal="center" vertical="center" wrapText="1"/>
      <protection locked="0"/>
    </xf>
    <xf numFmtId="0" fontId="25" fillId="14" borderId="31" xfId="0" applyFont="1" applyFill="1" applyBorder="1" applyAlignment="1" applyProtection="1">
      <alignment horizontal="center" wrapText="1"/>
      <protection locked="0"/>
    </xf>
    <xf numFmtId="0" fontId="25" fillId="14" borderId="43" xfId="0" applyFont="1" applyFill="1" applyBorder="1" applyAlignment="1" applyProtection="1">
      <alignment horizontal="center" wrapText="1"/>
      <protection locked="0"/>
    </xf>
    <xf numFmtId="0" fontId="25" fillId="14" borderId="46" xfId="0" applyFont="1" applyFill="1" applyBorder="1" applyAlignment="1" applyProtection="1">
      <alignment horizontal="center" wrapText="1"/>
      <protection locked="0"/>
    </xf>
    <xf numFmtId="0" fontId="25" fillId="7" borderId="31" xfId="0" applyFont="1" applyFill="1" applyBorder="1" applyAlignment="1" applyProtection="1">
      <alignment horizontal="center" wrapText="1"/>
      <protection locked="0"/>
    </xf>
    <xf numFmtId="0" fontId="25" fillId="7" borderId="43" xfId="0" applyFont="1" applyFill="1" applyBorder="1" applyAlignment="1" applyProtection="1">
      <alignment horizontal="center" wrapText="1"/>
      <protection locked="0"/>
    </xf>
    <xf numFmtId="0" fontId="25" fillId="7" borderId="44" xfId="0" applyFont="1" applyFill="1" applyBorder="1" applyAlignment="1" applyProtection="1">
      <alignment horizontal="center" wrapText="1"/>
      <protection locked="0"/>
    </xf>
    <xf numFmtId="165" fontId="0" fillId="0" borderId="0" xfId="0" applyNumberFormat="1" applyFont="1" applyBorder="1" applyAlignment="1" applyProtection="1">
      <alignment horizontal="center"/>
      <protection locked="0"/>
    </xf>
    <xf numFmtId="0" fontId="26" fillId="0" borderId="0" xfId="0" applyFont="1" applyProtection="1">
      <protection locked="0"/>
    </xf>
    <xf numFmtId="1" fontId="0" fillId="0" borderId="30" xfId="0" applyNumberFormat="1" applyFont="1" applyBorder="1" applyAlignment="1" applyProtection="1">
      <alignment horizontal="center"/>
      <protection locked="0"/>
    </xf>
    <xf numFmtId="1" fontId="0" fillId="0" borderId="2" xfId="0" applyNumberFormat="1" applyFont="1" applyBorder="1" applyAlignment="1" applyProtection="1">
      <alignment horizontal="center"/>
      <protection locked="0"/>
    </xf>
    <xf numFmtId="165" fontId="0" fillId="0" borderId="2" xfId="0" applyNumberFormat="1" applyFont="1" applyBorder="1" applyAlignment="1" applyProtection="1">
      <alignment horizontal="center"/>
      <protection locked="0"/>
    </xf>
    <xf numFmtId="165" fontId="0" fillId="0" borderId="0" xfId="0" applyNumberFormat="1" applyFont="1" applyAlignment="1" applyProtection="1">
      <alignment horizontal="center"/>
      <protection locked="0"/>
    </xf>
    <xf numFmtId="0" fontId="24" fillId="0" borderId="0" xfId="0" applyFont="1" applyProtection="1">
      <protection locked="0"/>
    </xf>
    <xf numFmtId="0" fontId="28" fillId="0" borderId="0" xfId="0" applyFont="1" applyFill="1" applyProtection="1">
      <protection locked="0"/>
    </xf>
    <xf numFmtId="0" fontId="9" fillId="0" borderId="0" xfId="0" applyFont="1" applyProtection="1">
      <protection locked="0"/>
    </xf>
    <xf numFmtId="0" fontId="29" fillId="0" borderId="0" xfId="0" applyFont="1" applyProtection="1">
      <protection locked="0"/>
    </xf>
    <xf numFmtId="165" fontId="6" fillId="0" borderId="0" xfId="0" applyNumberFormat="1" applyFont="1" applyBorder="1" applyAlignment="1" applyProtection="1">
      <alignment horizontal="center"/>
      <protection locked="0"/>
    </xf>
    <xf numFmtId="0" fontId="31" fillId="0" borderId="0" xfId="0" applyFont="1" applyProtection="1">
      <protection locked="0"/>
    </xf>
    <xf numFmtId="0" fontId="32" fillId="0" borderId="40" xfId="0" applyFont="1" applyBorder="1" applyProtection="1">
      <protection locked="0"/>
    </xf>
    <xf numFmtId="0" fontId="33" fillId="0" borderId="40" xfId="0" applyFont="1" applyBorder="1" applyProtection="1">
      <protection locked="0"/>
    </xf>
    <xf numFmtId="0" fontId="5" fillId="0" borderId="0" xfId="0" applyFont="1" applyAlignment="1" applyProtection="1">
      <alignment horizontal="left" vertical="center"/>
      <protection locked="0"/>
    </xf>
    <xf numFmtId="0" fontId="5" fillId="0" borderId="0" xfId="0" applyFont="1" applyAlignment="1" applyProtection="1">
      <alignment horizontal="left"/>
      <protection locked="0"/>
    </xf>
    <xf numFmtId="0" fontId="34" fillId="0" borderId="0" xfId="0" applyFont="1" applyProtection="1">
      <protection locked="0"/>
    </xf>
    <xf numFmtId="0" fontId="5" fillId="0" borderId="41" xfId="0" applyFont="1" applyBorder="1" applyAlignment="1" applyProtection="1">
      <alignment horizontal="center"/>
      <protection locked="0"/>
    </xf>
    <xf numFmtId="0" fontId="31" fillId="0" borderId="0" xfId="0" applyFont="1" applyAlignment="1" applyProtection="1">
      <alignment horizontal="center"/>
      <protection locked="0"/>
    </xf>
    <xf numFmtId="166" fontId="0" fillId="0" borderId="0" xfId="1" applyNumberFormat="1" applyFont="1" applyProtection="1">
      <protection locked="0"/>
    </xf>
    <xf numFmtId="166" fontId="35" fillId="4" borderId="0" xfId="2" applyNumberFormat="1" applyFont="1" applyProtection="1">
      <protection locked="0"/>
    </xf>
    <xf numFmtId="164" fontId="31" fillId="0" borderId="0" xfId="1" applyFont="1" applyProtection="1">
      <protection locked="0"/>
    </xf>
    <xf numFmtId="0" fontId="36" fillId="0" borderId="0" xfId="0" applyFont="1" applyProtection="1">
      <protection locked="0"/>
    </xf>
    <xf numFmtId="165" fontId="24" fillId="0" borderId="0" xfId="0" applyNumberFormat="1" applyFont="1" applyProtection="1">
      <protection locked="0"/>
    </xf>
    <xf numFmtId="1" fontId="0" fillId="0" borderId="32" xfId="0" applyNumberFormat="1" applyFont="1" applyBorder="1" applyAlignment="1" applyProtection="1">
      <alignment horizontal="center"/>
      <protection locked="0"/>
    </xf>
    <xf numFmtId="1" fontId="0" fillId="0" borderId="42" xfId="0" applyNumberFormat="1" applyFont="1" applyBorder="1" applyAlignment="1" applyProtection="1">
      <alignment horizontal="center"/>
      <protection locked="0"/>
    </xf>
    <xf numFmtId="165" fontId="0" fillId="0" borderId="42" xfId="0" applyNumberFormat="1" applyFont="1" applyBorder="1" applyAlignment="1" applyProtection="1">
      <alignment horizontal="center"/>
      <protection locked="0"/>
    </xf>
    <xf numFmtId="165" fontId="0" fillId="0" borderId="6" xfId="0" applyNumberFormat="1" applyFont="1" applyBorder="1" applyAlignment="1" applyProtection="1">
      <alignment horizontal="center"/>
      <protection locked="0"/>
    </xf>
    <xf numFmtId="165" fontId="0" fillId="0" borderId="13" xfId="0" applyNumberFormat="1" applyFont="1" applyBorder="1" applyAlignment="1" applyProtection="1">
      <alignment horizontal="center"/>
      <protection locked="0"/>
    </xf>
    <xf numFmtId="165" fontId="6" fillId="0" borderId="0" xfId="0" applyNumberFormat="1" applyFont="1" applyFill="1" applyBorder="1" applyAlignment="1" applyProtection="1">
      <alignment horizontal="center"/>
    </xf>
    <xf numFmtId="165" fontId="0" fillId="6" borderId="2" xfId="0" applyNumberFormat="1" applyFont="1" applyFill="1" applyBorder="1" applyAlignment="1" applyProtection="1">
      <alignment horizontal="center"/>
      <protection locked="0"/>
    </xf>
    <xf numFmtId="165" fontId="0" fillId="6" borderId="42" xfId="0" applyNumberFormat="1" applyFont="1" applyFill="1" applyBorder="1" applyAlignment="1" applyProtection="1">
      <alignment horizontal="center"/>
      <protection locked="0"/>
    </xf>
    <xf numFmtId="165" fontId="0" fillId="6" borderId="13" xfId="0" applyNumberFormat="1" applyFont="1" applyFill="1" applyBorder="1" applyAlignment="1" applyProtection="1">
      <alignment horizontal="center"/>
      <protection locked="0"/>
    </xf>
    <xf numFmtId="0" fontId="51" fillId="0" borderId="0" xfId="0" applyFont="1" applyFill="1" applyAlignment="1">
      <alignment horizontal="left" vertical="top"/>
    </xf>
    <xf numFmtId="0" fontId="0" fillId="0" borderId="0" xfId="0" applyFont="1" applyFill="1" applyBorder="1" applyAlignment="1">
      <alignment horizontal="right" vertical="top"/>
    </xf>
    <xf numFmtId="0" fontId="57" fillId="10" borderId="69" xfId="0" applyFont="1" applyFill="1" applyBorder="1" applyAlignment="1">
      <alignment horizontal="center" vertical="center" wrapText="1"/>
    </xf>
    <xf numFmtId="0" fontId="0" fillId="0" borderId="0" xfId="0" applyFont="1" applyFill="1" applyProtection="1"/>
    <xf numFmtId="165" fontId="19" fillId="0" borderId="0" xfId="3" applyNumberFormat="1" applyFont="1" applyBorder="1" applyAlignment="1" applyProtection="1">
      <alignment horizontal="left"/>
      <protection locked="0"/>
    </xf>
    <xf numFmtId="0" fontId="0" fillId="10" borderId="0" xfId="0" applyFont="1" applyFill="1" applyProtection="1">
      <protection locked="0"/>
    </xf>
    <xf numFmtId="0" fontId="26" fillId="10" borderId="0" xfId="0" applyFont="1" applyFill="1" applyProtection="1">
      <protection locked="0"/>
    </xf>
    <xf numFmtId="165" fontId="0" fillId="10" borderId="0" xfId="0" applyNumberFormat="1" applyFont="1" applyFill="1" applyBorder="1" applyAlignment="1" applyProtection="1">
      <alignment horizontal="center"/>
      <protection locked="0"/>
    </xf>
    <xf numFmtId="0" fontId="24" fillId="10" borderId="0" xfId="0" applyFont="1" applyFill="1" applyProtection="1">
      <protection locked="0"/>
    </xf>
    <xf numFmtId="0" fontId="9" fillId="23" borderId="38" xfId="0" applyFont="1" applyFill="1" applyBorder="1" applyAlignment="1" applyProtection="1">
      <alignment horizontal="center"/>
      <protection locked="0"/>
    </xf>
    <xf numFmtId="0" fontId="9" fillId="23" borderId="39" xfId="0" applyFont="1" applyFill="1" applyBorder="1" applyAlignment="1" applyProtection="1">
      <alignment horizontal="center"/>
      <protection locked="0"/>
    </xf>
    <xf numFmtId="0" fontId="77" fillId="0" borderId="0" xfId="0" applyFont="1" applyFill="1" applyAlignment="1" applyProtection="1">
      <alignment horizontal="right"/>
    </xf>
    <xf numFmtId="0" fontId="3" fillId="0" borderId="0" xfId="0" applyFont="1" applyFill="1" applyAlignment="1" applyProtection="1">
      <alignment horizontal="right"/>
    </xf>
    <xf numFmtId="0" fontId="9" fillId="6" borderId="0" xfId="0" applyFont="1" applyFill="1" applyBorder="1"/>
    <xf numFmtId="0" fontId="48" fillId="11" borderId="31" xfId="0" applyFont="1" applyFill="1" applyBorder="1" applyAlignment="1" applyProtection="1">
      <alignment horizontal="center" vertical="center" wrapText="1"/>
      <protection locked="0"/>
    </xf>
    <xf numFmtId="0" fontId="48" fillId="11" borderId="18" xfId="0" applyFont="1" applyFill="1" applyBorder="1" applyAlignment="1" applyProtection="1">
      <alignment horizontal="center" vertical="center" wrapText="1"/>
      <protection locked="0"/>
    </xf>
    <xf numFmtId="10" fontId="0" fillId="0" borderId="0" xfId="0" applyNumberFormat="1" applyFill="1"/>
    <xf numFmtId="0" fontId="3" fillId="0" borderId="0" xfId="0" applyFont="1" applyFill="1" applyProtection="1"/>
    <xf numFmtId="0" fontId="0" fillId="0" borderId="0" xfId="0" applyFill="1" applyAlignment="1" applyProtection="1">
      <alignment horizontal="center"/>
    </xf>
    <xf numFmtId="0" fontId="2" fillId="0" borderId="0" xfId="0" applyFont="1" applyFill="1" applyAlignment="1" applyProtection="1">
      <alignment horizontal="center" vertical="center"/>
    </xf>
    <xf numFmtId="0" fontId="25" fillId="0" borderId="0" xfId="0" applyFont="1" applyFill="1" applyAlignment="1" applyProtection="1">
      <alignment horizontal="center"/>
    </xf>
    <xf numFmtId="0" fontId="56" fillId="0" borderId="0" xfId="0" applyFont="1" applyFill="1" applyBorder="1" applyAlignment="1" applyProtection="1"/>
    <xf numFmtId="0" fontId="10" fillId="0" borderId="0" xfId="0" applyFont="1" applyFill="1" applyBorder="1" applyAlignment="1" applyProtection="1">
      <alignment horizontal="center" vertical="center" wrapText="1"/>
    </xf>
    <xf numFmtId="0" fontId="10" fillId="10" borderId="9" xfId="0" applyFont="1" applyFill="1" applyBorder="1" applyAlignment="1" applyProtection="1">
      <alignment horizontal="center" vertical="center" wrapText="1"/>
    </xf>
    <xf numFmtId="0" fontId="10" fillId="11" borderId="43" xfId="0" applyFont="1" applyFill="1" applyBorder="1" applyAlignment="1" applyProtection="1">
      <alignment horizontal="center" vertical="center" wrapText="1"/>
    </xf>
    <xf numFmtId="0" fontId="10" fillId="10" borderId="44" xfId="0" applyFont="1" applyFill="1" applyBorder="1" applyAlignment="1" applyProtection="1">
      <alignment horizontal="center" vertical="center" wrapText="1"/>
    </xf>
    <xf numFmtId="0" fontId="2" fillId="5" borderId="0" xfId="0" applyFont="1" applyFill="1" applyProtection="1"/>
    <xf numFmtId="2" fontId="18" fillId="0" borderId="0" xfId="0" applyNumberFormat="1" applyFont="1" applyFill="1" applyAlignment="1" applyProtection="1">
      <alignment vertical="top"/>
    </xf>
    <xf numFmtId="0" fontId="0" fillId="0" borderId="0" xfId="0"/>
    <xf numFmtId="0" fontId="46" fillId="10" borderId="42" xfId="0" applyFont="1" applyFill="1" applyBorder="1" applyAlignment="1">
      <alignment horizontal="center" vertical="center" wrapText="1"/>
    </xf>
    <xf numFmtId="0" fontId="18" fillId="6" borderId="0" xfId="0" applyFont="1" applyFill="1" applyProtection="1">
      <protection locked="0"/>
    </xf>
    <xf numFmtId="0" fontId="18" fillId="6" borderId="0" xfId="0" applyFont="1" applyFill="1" applyProtection="1"/>
    <xf numFmtId="0" fontId="18" fillId="5" borderId="0" xfId="0" applyFont="1" applyFill="1" applyProtection="1"/>
    <xf numFmtId="0" fontId="78" fillId="19" borderId="0" xfId="0" applyFont="1" applyFill="1" applyBorder="1" applyAlignment="1" applyProtection="1">
      <alignment horizontal="center" vertical="center" wrapText="1"/>
    </xf>
    <xf numFmtId="0" fontId="18" fillId="20" borderId="0" xfId="0" applyFont="1" applyFill="1" applyBorder="1" applyAlignment="1" applyProtection="1">
      <alignment horizontal="center" vertical="center" wrapText="1"/>
    </xf>
    <xf numFmtId="0" fontId="78" fillId="20" borderId="0" xfId="0" applyFont="1" applyFill="1" applyBorder="1" applyAlignment="1" applyProtection="1">
      <alignment horizontal="center" vertical="center" wrapText="1"/>
    </xf>
    <xf numFmtId="0" fontId="46" fillId="10" borderId="32" xfId="0" applyFont="1" applyFill="1" applyBorder="1" applyAlignment="1">
      <alignment horizontal="center" vertical="center" wrapText="1"/>
    </xf>
    <xf numFmtId="0" fontId="80" fillId="0" borderId="0" xfId="0" applyFont="1"/>
    <xf numFmtId="0" fontId="46" fillId="10" borderId="31" xfId="0" applyFont="1" applyFill="1" applyBorder="1" applyAlignment="1">
      <alignment horizontal="center" vertical="center" wrapText="1"/>
    </xf>
    <xf numFmtId="0" fontId="48" fillId="18" borderId="50" xfId="0" applyFont="1" applyFill="1" applyBorder="1" applyAlignment="1" applyProtection="1">
      <alignment horizontal="center" vertical="center" wrapText="1"/>
      <protection locked="0"/>
    </xf>
    <xf numFmtId="0" fontId="48" fillId="18" borderId="44" xfId="0" applyFont="1" applyFill="1" applyBorder="1" applyAlignment="1" applyProtection="1">
      <alignment horizontal="center" vertical="center" wrapText="1"/>
      <protection locked="0"/>
    </xf>
    <xf numFmtId="0" fontId="0" fillId="25" borderId="0" xfId="0" applyFont="1" applyFill="1" applyProtection="1">
      <protection locked="0"/>
    </xf>
    <xf numFmtId="0" fontId="2" fillId="24" borderId="0" xfId="0" applyFont="1" applyFill="1" applyAlignment="1" applyProtection="1">
      <alignment vertical="top"/>
    </xf>
    <xf numFmtId="0" fontId="18" fillId="0" borderId="0" xfId="0" applyFont="1" applyFill="1" applyAlignment="1" applyProtection="1">
      <alignment vertical="top"/>
    </xf>
    <xf numFmtId="0" fontId="18" fillId="0" borderId="0" xfId="0" applyNumberFormat="1" applyFont="1" applyFill="1" applyAlignment="1" applyProtection="1">
      <alignment vertical="top"/>
    </xf>
    <xf numFmtId="165" fontId="18" fillId="0" borderId="0" xfId="0" applyNumberFormat="1" applyFont="1" applyFill="1" applyAlignment="1" applyProtection="1">
      <alignment vertical="top"/>
    </xf>
    <xf numFmtId="0" fontId="18" fillId="6" borderId="0" xfId="0" applyFont="1" applyFill="1" applyAlignment="1">
      <alignment horizontal="left"/>
    </xf>
    <xf numFmtId="0" fontId="18" fillId="6" borderId="0" xfId="0" applyFont="1" applyFill="1" applyAlignment="1">
      <alignment wrapText="1"/>
    </xf>
    <xf numFmtId="0" fontId="18" fillId="6" borderId="0" xfId="0" applyFont="1" applyFill="1" applyAlignment="1">
      <alignment horizontal="center"/>
    </xf>
    <xf numFmtId="0" fontId="18" fillId="0" borderId="0" xfId="0" applyFont="1" applyFill="1" applyBorder="1" applyAlignment="1">
      <alignment horizontal="left"/>
    </xf>
    <xf numFmtId="0" fontId="18" fillId="0" borderId="0" xfId="0" applyFont="1" applyFill="1" applyBorder="1" applyAlignment="1">
      <alignment wrapText="1"/>
    </xf>
    <xf numFmtId="0" fontId="18" fillId="0" borderId="0" xfId="0" applyFont="1" applyFill="1" applyBorder="1" applyAlignment="1">
      <alignment horizontal="center"/>
    </xf>
    <xf numFmtId="0" fontId="52" fillId="0" borderId="0" xfId="0" applyFont="1" applyFill="1" applyBorder="1" applyAlignment="1">
      <alignment horizontal="left"/>
    </xf>
    <xf numFmtId="0" fontId="81" fillId="0" borderId="0" xfId="0" applyFont="1" applyFill="1" applyBorder="1" applyAlignment="1">
      <alignment horizontal="left"/>
    </xf>
    <xf numFmtId="0" fontId="18" fillId="0" borderId="0" xfId="0" applyFont="1" applyFill="1" applyBorder="1" applyAlignment="1">
      <alignment horizontal="center" vertical="center"/>
    </xf>
    <xf numFmtId="0" fontId="78" fillId="0" borderId="0" xfId="0" applyFont="1" applyFill="1" applyBorder="1" applyAlignment="1">
      <alignment horizontal="center" vertical="center" wrapText="1"/>
    </xf>
    <xf numFmtId="0" fontId="18" fillId="0" borderId="0" xfId="0" applyFont="1" applyFill="1" applyBorder="1" applyAlignment="1">
      <alignment horizontal="right"/>
    </xf>
    <xf numFmtId="0" fontId="80" fillId="0" borderId="0" xfId="0" applyFont="1" applyFill="1"/>
    <xf numFmtId="0" fontId="46" fillId="10" borderId="44" xfId="0" applyFont="1" applyFill="1" applyBorder="1" applyAlignment="1">
      <alignment horizontal="center" vertical="center" wrapText="1"/>
    </xf>
    <xf numFmtId="0" fontId="46" fillId="10" borderId="16" xfId="0" applyFont="1" applyFill="1" applyBorder="1" applyAlignment="1">
      <alignment horizontal="center" vertical="center" wrapText="1"/>
    </xf>
    <xf numFmtId="1" fontId="22" fillId="18" borderId="47" xfId="0" applyNumberFormat="1" applyFont="1" applyFill="1" applyBorder="1" applyAlignment="1">
      <alignment horizontal="center" vertical="center"/>
    </xf>
    <xf numFmtId="1" fontId="22" fillId="18" borderId="31" xfId="0" applyNumberFormat="1" applyFont="1" applyFill="1" applyBorder="1" applyAlignment="1">
      <alignment horizontal="center" vertical="center"/>
    </xf>
    <xf numFmtId="1" fontId="22" fillId="18" borderId="44" xfId="0" applyNumberFormat="1" applyFont="1" applyFill="1" applyBorder="1" applyAlignment="1">
      <alignment horizontal="center" vertical="center"/>
    </xf>
    <xf numFmtId="0" fontId="3" fillId="0" borderId="0" xfId="0" applyFont="1" applyFill="1" applyAlignment="1">
      <alignment horizontal="left" vertical="center"/>
    </xf>
    <xf numFmtId="0" fontId="0" fillId="0" borderId="0" xfId="0" applyNumberFormat="1" applyFill="1"/>
    <xf numFmtId="0" fontId="83" fillId="0" borderId="0" xfId="0" applyFont="1" applyAlignment="1">
      <alignment wrapText="1"/>
    </xf>
    <xf numFmtId="0" fontId="0" fillId="12" borderId="0" xfId="0" applyFont="1" applyFill="1" applyAlignment="1" applyProtection="1">
      <alignment horizontal="center"/>
      <protection locked="0"/>
    </xf>
    <xf numFmtId="0" fontId="0" fillId="12" borderId="0" xfId="0" applyFont="1" applyFill="1" applyProtection="1">
      <protection locked="0"/>
    </xf>
    <xf numFmtId="0" fontId="0" fillId="12" borderId="0" xfId="0" applyFont="1" applyFill="1"/>
    <xf numFmtId="0" fontId="78" fillId="5" borderId="0" xfId="0" applyFont="1" applyFill="1" applyBorder="1" applyAlignment="1" applyProtection="1">
      <alignment horizontal="center" vertical="center" wrapText="1"/>
      <protection locked="0"/>
    </xf>
    <xf numFmtId="0" fontId="18" fillId="5" borderId="0" xfId="0" applyFont="1" applyFill="1" applyBorder="1" applyAlignment="1">
      <alignment horizontal="center"/>
    </xf>
    <xf numFmtId="0" fontId="87" fillId="0" borderId="0" xfId="0" applyFont="1" applyFill="1" applyBorder="1" applyAlignment="1">
      <alignment vertical="center" wrapText="1"/>
    </xf>
    <xf numFmtId="0" fontId="87" fillId="0" borderId="0" xfId="0" applyFont="1" applyFill="1" applyBorder="1" applyAlignment="1" applyProtection="1">
      <alignment horizontal="center" vertical="center" wrapText="1"/>
    </xf>
    <xf numFmtId="0" fontId="87" fillId="0" borderId="0" xfId="0" applyFont="1" applyFill="1" applyBorder="1" applyAlignment="1">
      <alignment horizontal="center" vertical="center" wrapText="1"/>
    </xf>
    <xf numFmtId="0" fontId="18" fillId="0" borderId="0" xfId="0" applyFont="1" applyFill="1" applyBorder="1" applyAlignment="1"/>
    <xf numFmtId="0" fontId="18" fillId="0" borderId="0" xfId="0" applyFont="1" applyFill="1" applyBorder="1" applyAlignment="1" applyProtection="1">
      <alignment horizontal="center" vertical="center"/>
    </xf>
    <xf numFmtId="169" fontId="9" fillId="6" borderId="47" xfId="0" applyNumberFormat="1" applyFont="1" applyFill="1" applyBorder="1" applyAlignment="1">
      <alignment horizontal="center" vertical="center"/>
    </xf>
    <xf numFmtId="1" fontId="6" fillId="0" borderId="0" xfId="0" applyNumberFormat="1" applyFont="1" applyFill="1" applyBorder="1" applyAlignment="1" applyProtection="1">
      <alignment horizontal="center"/>
      <protection locked="0"/>
    </xf>
    <xf numFmtId="0" fontId="2" fillId="24" borderId="0" xfId="0" applyFont="1" applyFill="1" applyBorder="1" applyAlignment="1" applyProtection="1">
      <alignment vertical="top"/>
    </xf>
    <xf numFmtId="0" fontId="0" fillId="24" borderId="0" xfId="0" applyFill="1" applyBorder="1" applyProtection="1">
      <protection locked="0"/>
    </xf>
    <xf numFmtId="0" fontId="0" fillId="18" borderId="0" xfId="0" applyFill="1" applyBorder="1" applyProtection="1">
      <protection locked="0"/>
    </xf>
    <xf numFmtId="0" fontId="18" fillId="0" borderId="0" xfId="0" applyNumberFormat="1" applyFont="1" applyFill="1" applyBorder="1" applyAlignment="1" applyProtection="1">
      <alignment vertical="top"/>
    </xf>
    <xf numFmtId="0" fontId="18" fillId="0" borderId="0" xfId="0" applyFont="1" applyFill="1" applyBorder="1" applyAlignment="1" applyProtection="1">
      <alignment vertical="top"/>
    </xf>
    <xf numFmtId="165" fontId="18" fillId="0" borderId="0" xfId="0" applyNumberFormat="1" applyFont="1" applyFill="1" applyBorder="1" applyAlignment="1" applyProtection="1">
      <alignment vertical="top"/>
    </xf>
    <xf numFmtId="2" fontId="18" fillId="0" borderId="0" xfId="0" applyNumberFormat="1" applyFont="1" applyFill="1" applyBorder="1" applyAlignment="1" applyProtection="1">
      <alignment vertical="top"/>
    </xf>
    <xf numFmtId="0" fontId="18" fillId="26" borderId="0" xfId="0" applyFont="1" applyFill="1" applyBorder="1" applyAlignment="1">
      <alignment horizontal="left"/>
    </xf>
    <xf numFmtId="165" fontId="18" fillId="26" borderId="0" xfId="0" applyNumberFormat="1" applyFont="1" applyFill="1" applyBorder="1" applyAlignment="1">
      <alignment horizontal="left"/>
    </xf>
    <xf numFmtId="165" fontId="18" fillId="26" borderId="0" xfId="0" applyNumberFormat="1" applyFont="1" applyFill="1" applyBorder="1" applyAlignment="1">
      <alignment wrapText="1"/>
    </xf>
    <xf numFmtId="0" fontId="18" fillId="26" borderId="0" xfId="0" applyFont="1" applyFill="1" applyBorder="1" applyAlignment="1">
      <alignment horizontal="center"/>
    </xf>
    <xf numFmtId="0" fontId="78" fillId="21" borderId="0" xfId="0" applyFont="1" applyFill="1" applyBorder="1" applyAlignment="1">
      <alignment horizontal="left" vertical="center"/>
    </xf>
    <xf numFmtId="0" fontId="78" fillId="21" borderId="0" xfId="0" applyFont="1" applyFill="1" applyBorder="1" applyAlignment="1">
      <alignment vertical="center" wrapText="1"/>
    </xf>
    <xf numFmtId="0" fontId="78" fillId="21" borderId="0" xfId="0" applyFont="1" applyFill="1" applyBorder="1" applyAlignment="1">
      <alignment horizontal="center" vertical="center"/>
    </xf>
    <xf numFmtId="0" fontId="78" fillId="21" borderId="0" xfId="0" applyFont="1" applyFill="1" applyBorder="1" applyAlignment="1">
      <alignment horizontal="center" vertical="center" wrapText="1"/>
    </xf>
    <xf numFmtId="0" fontId="18" fillId="5" borderId="0" xfId="0" applyFont="1" applyFill="1"/>
    <xf numFmtId="0" fontId="0" fillId="0" borderId="0" xfId="0"/>
    <xf numFmtId="0" fontId="0" fillId="0" borderId="0" xfId="0" applyFill="1" applyProtection="1"/>
    <xf numFmtId="0" fontId="0" fillId="0" borderId="0" xfId="0" pivotButton="1"/>
    <xf numFmtId="165" fontId="0" fillId="0" borderId="0" xfId="0" applyNumberFormat="1"/>
    <xf numFmtId="0" fontId="6" fillId="12" borderId="0" xfId="0" applyFont="1" applyFill="1" applyAlignment="1" applyProtection="1">
      <alignment horizontal="center"/>
      <protection locked="0"/>
    </xf>
    <xf numFmtId="165" fontId="0" fillId="6" borderId="0" xfId="0" applyNumberFormat="1" applyFill="1" applyAlignment="1">
      <alignment horizontal="center"/>
    </xf>
    <xf numFmtId="165" fontId="0" fillId="6" borderId="0" xfId="0" applyNumberFormat="1" applyFill="1"/>
    <xf numFmtId="0" fontId="0" fillId="24" borderId="0" xfId="0" applyFill="1" applyProtection="1">
      <protection locked="0"/>
    </xf>
    <xf numFmtId="165" fontId="6" fillId="6" borderId="0" xfId="0" applyNumberFormat="1" applyFont="1" applyFill="1" applyAlignment="1" applyProtection="1">
      <alignment horizontal="center"/>
      <protection locked="0"/>
    </xf>
    <xf numFmtId="0" fontId="6" fillId="12" borderId="0" xfId="0" applyNumberFormat="1" applyFont="1" applyFill="1" applyBorder="1" applyAlignment="1" applyProtection="1">
      <alignment horizontal="center"/>
      <protection locked="0"/>
    </xf>
    <xf numFmtId="0" fontId="6" fillId="12" borderId="0" xfId="0" applyFont="1" applyFill="1" applyBorder="1" applyAlignment="1" applyProtection="1">
      <alignment horizontal="center"/>
      <protection locked="0"/>
    </xf>
    <xf numFmtId="10" fontId="6" fillId="12" borderId="0" xfId="0" applyNumberFormat="1" applyFont="1" applyFill="1" applyBorder="1" applyAlignment="1" applyProtection="1">
      <alignment horizontal="center"/>
      <protection locked="0"/>
    </xf>
    <xf numFmtId="2" fontId="18" fillId="5" borderId="0" xfId="0" applyNumberFormat="1" applyFont="1" applyFill="1" applyBorder="1"/>
    <xf numFmtId="0" fontId="18" fillId="0" borderId="0" xfId="0" applyFont="1" applyFill="1" applyBorder="1" applyAlignment="1">
      <alignment vertical="center" wrapText="1"/>
    </xf>
    <xf numFmtId="0" fontId="57" fillId="5" borderId="0" xfId="0" applyFont="1" applyFill="1" applyBorder="1"/>
    <xf numFmtId="0" fontId="10" fillId="5" borderId="0" xfId="0" applyFont="1" applyFill="1" applyBorder="1" applyAlignment="1">
      <alignment horizontal="center" vertical="center" wrapText="1"/>
    </xf>
    <xf numFmtId="0" fontId="2" fillId="5" borderId="0" xfId="0" applyFont="1" applyFill="1" applyBorder="1" applyAlignment="1">
      <alignment wrapText="1"/>
    </xf>
    <xf numFmtId="0" fontId="10" fillId="5" borderId="0" xfId="0" applyFont="1" applyFill="1" applyBorder="1"/>
    <xf numFmtId="165" fontId="10" fillId="5" borderId="0" xfId="0" applyNumberFormat="1" applyFont="1" applyFill="1" applyBorder="1"/>
    <xf numFmtId="0" fontId="2" fillId="0" borderId="0" xfId="0" applyFont="1" applyBorder="1"/>
    <xf numFmtId="0" fontId="18" fillId="6" borderId="0" xfId="0" applyFont="1" applyFill="1" applyBorder="1" applyProtection="1"/>
    <xf numFmtId="0" fontId="56" fillId="5" borderId="0" xfId="0" applyFont="1" applyFill="1" applyBorder="1" applyAlignment="1" applyProtection="1">
      <alignment vertical="center" wrapText="1"/>
    </xf>
    <xf numFmtId="0" fontId="18" fillId="0" borderId="0" xfId="0" applyFont="1" applyFill="1" applyAlignment="1" applyProtection="1">
      <alignment horizontal="center" vertical="center"/>
    </xf>
    <xf numFmtId="0" fontId="18" fillId="5" borderId="0" xfId="0" applyFont="1" applyFill="1" applyBorder="1" applyProtection="1"/>
    <xf numFmtId="0" fontId="78" fillId="5" borderId="0" xfId="0" applyFont="1" applyFill="1" applyBorder="1" applyAlignment="1" applyProtection="1">
      <alignment horizontal="center" vertical="center" wrapText="1"/>
    </xf>
    <xf numFmtId="0" fontId="18" fillId="24" borderId="0" xfId="0" applyFont="1" applyFill="1" applyProtection="1">
      <protection locked="0"/>
    </xf>
    <xf numFmtId="0" fontId="78" fillId="5" borderId="0" xfId="0" applyFont="1" applyFill="1" applyBorder="1" applyAlignment="1">
      <alignment horizontal="center" wrapText="1"/>
    </xf>
    <xf numFmtId="0" fontId="18" fillId="5" borderId="0" xfId="0" applyFont="1" applyFill="1" applyBorder="1" applyAlignment="1">
      <alignment horizontal="center" wrapText="1"/>
    </xf>
    <xf numFmtId="165" fontId="18" fillId="5" borderId="0" xfId="0" applyNumberFormat="1" applyFont="1" applyFill="1" applyBorder="1"/>
    <xf numFmtId="0" fontId="18" fillId="5" borderId="0" xfId="0" applyNumberFormat="1" applyFont="1" applyFill="1" applyBorder="1"/>
    <xf numFmtId="0" fontId="0" fillId="5" borderId="0" xfId="0" applyFill="1" applyProtection="1"/>
    <xf numFmtId="0" fontId="0" fillId="0" borderId="0" xfId="0" applyFill="1" applyAlignment="1" applyProtection="1">
      <alignment horizontal="right"/>
    </xf>
    <xf numFmtId="0" fontId="6" fillId="0" borderId="0" xfId="0" applyFont="1" applyFill="1" applyAlignment="1" applyProtection="1">
      <alignment horizontal="center"/>
      <protection locked="0"/>
    </xf>
    <xf numFmtId="0" fontId="6" fillId="0" borderId="0" xfId="0" applyFont="1" applyFill="1" applyBorder="1" applyAlignment="1" applyProtection="1">
      <alignment horizontal="center"/>
      <protection locked="0"/>
    </xf>
    <xf numFmtId="0" fontId="48" fillId="16" borderId="9" xfId="0" applyFont="1" applyFill="1" applyBorder="1" applyAlignment="1" applyProtection="1">
      <alignment horizontal="center" vertical="center" wrapText="1"/>
    </xf>
    <xf numFmtId="0" fontId="2" fillId="0" borderId="0" xfId="0" applyFont="1" applyFill="1" applyAlignment="1" applyProtection="1">
      <alignment horizontal="center"/>
    </xf>
    <xf numFmtId="0" fontId="10" fillId="0" borderId="0" xfId="0" applyFont="1" applyFill="1" applyBorder="1" applyProtection="1"/>
    <xf numFmtId="1" fontId="0" fillId="12" borderId="0" xfId="0" applyNumberFormat="1" applyFont="1" applyFill="1" applyAlignment="1" applyProtection="1">
      <alignment horizontal="center" vertical="center" wrapText="1"/>
      <protection locked="0"/>
    </xf>
    <xf numFmtId="0" fontId="18" fillId="5" borderId="0" xfId="0" applyFont="1" applyFill="1" applyAlignment="1">
      <alignment horizontal="center"/>
    </xf>
    <xf numFmtId="168" fontId="0" fillId="5" borderId="0" xfId="0" applyNumberFormat="1" applyFont="1" applyFill="1" applyBorder="1"/>
    <xf numFmtId="167" fontId="0" fillId="24" borderId="0" xfId="0" applyNumberFormat="1" applyFill="1" applyProtection="1">
      <protection locked="0"/>
    </xf>
    <xf numFmtId="167" fontId="0" fillId="24" borderId="0" xfId="0" applyNumberFormat="1" applyFill="1" applyBorder="1" applyProtection="1">
      <protection locked="0"/>
    </xf>
    <xf numFmtId="0" fontId="42" fillId="25" borderId="71" xfId="0" applyFont="1" applyFill="1" applyBorder="1"/>
    <xf numFmtId="0" fontId="55" fillId="10" borderId="31" xfId="0" applyFont="1" applyFill="1" applyBorder="1" applyAlignment="1">
      <alignment horizontal="right" vertical="center" wrapText="1"/>
    </xf>
    <xf numFmtId="0" fontId="42" fillId="8" borderId="9" xfId="0" applyFont="1" applyFill="1" applyBorder="1" applyProtection="1"/>
    <xf numFmtId="10" fontId="0" fillId="0" borderId="0" xfId="0" applyNumberFormat="1" applyFill="1" applyProtection="1">
      <protection locked="0"/>
    </xf>
    <xf numFmtId="2" fontId="18" fillId="26" borderId="0" xfId="0" applyNumberFormat="1" applyFont="1" applyFill="1" applyBorder="1" applyAlignment="1">
      <alignment horizontal="center"/>
    </xf>
    <xf numFmtId="2" fontId="18" fillId="26" borderId="0" xfId="0" applyNumberFormat="1" applyFont="1" applyFill="1" applyBorder="1" applyAlignment="1">
      <alignment horizontal="center" wrapText="1"/>
    </xf>
    <xf numFmtId="0" fontId="42" fillId="0" borderId="0" xfId="0" applyFont="1" applyFill="1" applyBorder="1" applyAlignment="1" applyProtection="1">
      <alignment vertical="center"/>
    </xf>
    <xf numFmtId="0" fontId="55" fillId="0" borderId="0" xfId="0" applyFont="1" applyFill="1" applyBorder="1" applyAlignment="1" applyProtection="1">
      <alignment vertical="center"/>
    </xf>
    <xf numFmtId="0" fontId="27" fillId="0" borderId="0" xfId="0" applyFont="1" applyFill="1" applyBorder="1" applyAlignment="1" applyProtection="1">
      <alignment vertical="center"/>
    </xf>
    <xf numFmtId="0" fontId="5" fillId="0" borderId="0" xfId="0" applyFont="1" applyFill="1" applyBorder="1" applyAlignment="1" applyProtection="1"/>
    <xf numFmtId="0" fontId="0" fillId="0" borderId="0" xfId="0" applyFill="1" applyBorder="1" applyAlignment="1"/>
    <xf numFmtId="0" fontId="42" fillId="0" borderId="0" xfId="0" applyFont="1" applyFill="1" applyBorder="1" applyAlignment="1" applyProtection="1">
      <protection locked="0"/>
    </xf>
    <xf numFmtId="0" fontId="0" fillId="0" borderId="0" xfId="0" applyFill="1" applyBorder="1" applyAlignment="1" applyProtection="1"/>
    <xf numFmtId="0" fontId="6" fillId="0" borderId="0" xfId="0" applyFont="1" applyFill="1" applyBorder="1" applyAlignment="1"/>
    <xf numFmtId="0" fontId="18" fillId="5" borderId="0" xfId="0" applyNumberFormat="1" applyFont="1" applyFill="1" applyAlignment="1">
      <alignment horizontal="center"/>
    </xf>
    <xf numFmtId="167" fontId="9" fillId="6" borderId="13" xfId="0" applyNumberFormat="1" applyFont="1" applyFill="1" applyBorder="1" applyAlignment="1">
      <alignment horizontal="center" vertical="center"/>
    </xf>
    <xf numFmtId="0" fontId="77" fillId="0" borderId="0" xfId="0" applyFont="1"/>
    <xf numFmtId="0" fontId="2" fillId="10" borderId="0" xfId="0" applyFont="1" applyFill="1" applyAlignment="1">
      <alignment horizontal="center" vertical="center" wrapText="1"/>
    </xf>
    <xf numFmtId="0" fontId="12" fillId="5" borderId="1" xfId="0" applyFont="1" applyFill="1" applyBorder="1" applyAlignment="1">
      <alignment horizontal="center" vertical="top" wrapText="1"/>
    </xf>
    <xf numFmtId="0" fontId="90" fillId="0" borderId="0" xfId="0" applyFont="1"/>
    <xf numFmtId="0" fontId="51" fillId="0" borderId="0" xfId="0" applyFont="1" applyAlignment="1">
      <alignment vertical="center"/>
    </xf>
    <xf numFmtId="0" fontId="37" fillId="6" borderId="0" xfId="0" applyFont="1" applyFill="1" applyBorder="1"/>
    <xf numFmtId="0" fontId="78" fillId="0" borderId="0" xfId="0" applyFont="1" applyFill="1"/>
    <xf numFmtId="0" fontId="78" fillId="0" borderId="0" xfId="0" applyFont="1"/>
    <xf numFmtId="0" fontId="52" fillId="0" borderId="0" xfId="0" applyFont="1"/>
    <xf numFmtId="0" fontId="78" fillId="0" borderId="0" xfId="0" applyFont="1" applyFill="1" applyProtection="1"/>
    <xf numFmtId="0" fontId="6" fillId="3" borderId="0" xfId="0" applyFont="1" applyFill="1" applyBorder="1" applyAlignment="1" applyProtection="1">
      <alignment horizontal="center"/>
      <protection locked="0"/>
    </xf>
    <xf numFmtId="0" fontId="48" fillId="16" borderId="16" xfId="0" applyFont="1" applyFill="1" applyBorder="1" applyAlignment="1" applyProtection="1">
      <alignment horizontal="center" vertical="center" wrapText="1"/>
    </xf>
    <xf numFmtId="0" fontId="48" fillId="16" borderId="16" xfId="0" applyFont="1" applyFill="1" applyBorder="1" applyAlignment="1" applyProtection="1">
      <alignment horizontal="center" vertical="center" wrapText="1"/>
    </xf>
    <xf numFmtId="0" fontId="0" fillId="24" borderId="0" xfId="0" applyFill="1" applyProtection="1"/>
    <xf numFmtId="0" fontId="6" fillId="0" borderId="0" xfId="0" applyFont="1" applyFill="1" applyBorder="1" applyAlignment="1" applyProtection="1">
      <alignment horizontal="center"/>
      <protection locked="0"/>
    </xf>
    <xf numFmtId="0" fontId="7" fillId="0" borderId="0" xfId="0" applyFont="1" applyFill="1" applyBorder="1" applyProtection="1">
      <protection locked="0"/>
    </xf>
    <xf numFmtId="0" fontId="38" fillId="0" borderId="0" xfId="0" applyFont="1" applyFill="1" applyBorder="1" applyAlignment="1" applyProtection="1">
      <alignment horizontal="center" wrapText="1"/>
    </xf>
    <xf numFmtId="0" fontId="2" fillId="0" borderId="0" xfId="0" applyFont="1" applyFill="1" applyBorder="1" applyAlignment="1" applyProtection="1"/>
    <xf numFmtId="0" fontId="88" fillId="0" borderId="0" xfId="0" applyFont="1" applyFill="1" applyBorder="1" applyAlignment="1" applyProtection="1">
      <alignment horizontal="left" vertical="center"/>
    </xf>
    <xf numFmtId="0" fontId="88" fillId="0" borderId="0" xfId="0" applyFont="1" applyFill="1" applyBorder="1" applyAlignment="1" applyProtection="1">
      <alignment horizontal="right"/>
    </xf>
    <xf numFmtId="0" fontId="10" fillId="11" borderId="47" xfId="0" applyFont="1" applyFill="1" applyBorder="1" applyAlignment="1" applyProtection="1">
      <alignment horizontal="center" vertical="center"/>
      <protection locked="0"/>
    </xf>
    <xf numFmtId="0" fontId="2" fillId="10" borderId="47" xfId="0" applyFont="1" applyFill="1" applyBorder="1" applyAlignment="1">
      <alignment horizontal="center" vertical="center" wrapText="1"/>
    </xf>
    <xf numFmtId="165" fontId="6" fillId="0" borderId="0" xfId="0" applyNumberFormat="1" applyFont="1" applyFill="1" applyAlignment="1" applyProtection="1">
      <alignment horizontal="center"/>
      <protection locked="0"/>
    </xf>
    <xf numFmtId="1" fontId="6" fillId="0" borderId="0" xfId="0" applyNumberFormat="1" applyFont="1" applyFill="1" applyAlignment="1" applyProtection="1">
      <alignment horizontal="center"/>
      <protection locked="0"/>
    </xf>
    <xf numFmtId="0" fontId="0" fillId="5" borderId="0" xfId="0" applyFont="1" applyFill="1"/>
    <xf numFmtId="0" fontId="0" fillId="5" borderId="0" xfId="0" applyNumberFormat="1" applyFont="1" applyFill="1" applyBorder="1"/>
    <xf numFmtId="0" fontId="92" fillId="0" borderId="0" xfId="0" applyFont="1"/>
    <xf numFmtId="0" fontId="93" fillId="0" borderId="0" xfId="0" applyFont="1" applyAlignment="1">
      <alignment horizontal="left"/>
    </xf>
    <xf numFmtId="0" fontId="5" fillId="0" borderId="0" xfId="0" applyFont="1" applyFill="1" applyProtection="1"/>
    <xf numFmtId="0" fontId="37" fillId="0" borderId="0" xfId="0" applyFont="1" applyAlignment="1">
      <alignment vertical="center"/>
    </xf>
    <xf numFmtId="0" fontId="25" fillId="29" borderId="31" xfId="0" applyFont="1" applyFill="1" applyBorder="1" applyAlignment="1" applyProtection="1">
      <alignment horizontal="center" wrapText="1"/>
      <protection locked="0"/>
    </xf>
    <xf numFmtId="0" fontId="25" fillId="29" borderId="43" xfId="0" applyFont="1" applyFill="1" applyBorder="1" applyAlignment="1" applyProtection="1">
      <alignment horizontal="center" wrapText="1"/>
      <protection locked="0"/>
    </xf>
    <xf numFmtId="0" fontId="25" fillId="29" borderId="18" xfId="0" applyFont="1" applyFill="1" applyBorder="1" applyAlignment="1" applyProtection="1">
      <alignment horizontal="center" wrapText="1"/>
      <protection locked="0"/>
    </xf>
    <xf numFmtId="0" fontId="0" fillId="5" borderId="11" xfId="0" applyFill="1" applyBorder="1" applyAlignment="1">
      <alignment vertical="top"/>
    </xf>
    <xf numFmtId="0" fontId="0" fillId="5" borderId="11" xfId="0" applyFill="1" applyBorder="1" applyAlignment="1">
      <alignment horizontal="left" vertical="top" wrapText="1"/>
    </xf>
    <xf numFmtId="0" fontId="0" fillId="5" borderId="0" xfId="0" applyFill="1" applyBorder="1" applyAlignment="1">
      <alignment horizontal="left" vertical="top" wrapText="1"/>
    </xf>
    <xf numFmtId="0" fontId="0" fillId="5" borderId="5" xfId="0" applyFill="1" applyBorder="1" applyAlignment="1">
      <alignment horizontal="left" vertical="top" wrapText="1"/>
    </xf>
    <xf numFmtId="0" fontId="0" fillId="0" borderId="22" xfId="0" applyFont="1" applyFill="1" applyBorder="1" applyProtection="1">
      <protection locked="0"/>
    </xf>
    <xf numFmtId="0" fontId="0" fillId="0" borderId="8" xfId="0" applyFont="1" applyFill="1" applyBorder="1" applyProtection="1">
      <protection locked="0"/>
    </xf>
    <xf numFmtId="0" fontId="0" fillId="0" borderId="0" xfId="0" applyFont="1" applyFill="1" applyProtection="1">
      <protection locked="0"/>
    </xf>
    <xf numFmtId="0" fontId="0" fillId="30" borderId="0" xfId="0" applyFill="1" applyBorder="1" applyProtection="1">
      <protection locked="0"/>
    </xf>
    <xf numFmtId="0" fontId="6" fillId="3" borderId="0" xfId="0" applyFont="1" applyFill="1" applyAlignment="1" applyProtection="1">
      <alignment horizontal="center"/>
      <protection locked="0"/>
    </xf>
    <xf numFmtId="0" fontId="99" fillId="0" borderId="0" xfId="0" applyFont="1" applyFill="1" applyBorder="1" applyAlignment="1" applyProtection="1">
      <protection locked="0"/>
    </xf>
    <xf numFmtId="0" fontId="95" fillId="0" borderId="0" xfId="0" applyFont="1" applyFill="1" applyProtection="1"/>
    <xf numFmtId="0" fontId="59" fillId="0" borderId="3" xfId="0" applyFont="1" applyBorder="1" applyAlignment="1">
      <alignment horizontal="center" vertical="center"/>
    </xf>
    <xf numFmtId="0" fontId="0" fillId="5" borderId="11" xfId="0" applyFill="1" applyBorder="1" applyAlignment="1">
      <alignment horizontal="left" vertical="top" wrapText="1"/>
    </xf>
    <xf numFmtId="0" fontId="0" fillId="5" borderId="0" xfId="0" applyFill="1" applyBorder="1" applyAlignment="1">
      <alignment horizontal="left" vertical="top" wrapText="1"/>
    </xf>
    <xf numFmtId="0" fontId="0" fillId="5" borderId="5" xfId="0" applyFill="1" applyBorder="1" applyAlignment="1">
      <alignment horizontal="left" vertical="top" wrapText="1"/>
    </xf>
    <xf numFmtId="0" fontId="44" fillId="18" borderId="16" xfId="0" applyFont="1" applyFill="1" applyBorder="1" applyAlignment="1">
      <alignment horizontal="left" vertical="center" wrapText="1"/>
    </xf>
    <xf numFmtId="0" fontId="44" fillId="18" borderId="17" xfId="0" applyFont="1" applyFill="1" applyBorder="1" applyAlignment="1">
      <alignment horizontal="left" vertical="center" wrapText="1"/>
    </xf>
    <xf numFmtId="0" fontId="44" fillId="18" borderId="18" xfId="0" applyFont="1" applyFill="1" applyBorder="1" applyAlignment="1">
      <alignment horizontal="left" vertical="center" wrapText="1"/>
    </xf>
    <xf numFmtId="0" fontId="42" fillId="17" borderId="10" xfId="0" applyFont="1" applyFill="1" applyBorder="1" applyAlignment="1">
      <alignment horizontal="left" vertical="top" wrapText="1"/>
    </xf>
    <xf numFmtId="0" fontId="42" fillId="17" borderId="3" xfId="0" applyFont="1" applyFill="1" applyBorder="1" applyAlignment="1">
      <alignment horizontal="left" vertical="top" wrapText="1"/>
    </xf>
    <xf numFmtId="0" fontId="42" fillId="17" borderId="4" xfId="0" applyFont="1" applyFill="1" applyBorder="1" applyAlignment="1">
      <alignment horizontal="left" vertical="top" wrapText="1"/>
    </xf>
    <xf numFmtId="0" fontId="42" fillId="17" borderId="11" xfId="0" applyFont="1" applyFill="1" applyBorder="1" applyAlignment="1">
      <alignment horizontal="left" vertical="top" wrapText="1"/>
    </xf>
    <xf numFmtId="0" fontId="42" fillId="17" borderId="0" xfId="0" applyFont="1" applyFill="1" applyBorder="1" applyAlignment="1">
      <alignment horizontal="left" vertical="top" wrapText="1"/>
    </xf>
    <xf numFmtId="0" fontId="42" fillId="17" borderId="5" xfId="0" applyFont="1" applyFill="1" applyBorder="1" applyAlignment="1">
      <alignment horizontal="left" vertical="top" wrapText="1"/>
    </xf>
    <xf numFmtId="0" fontId="42" fillId="17" borderId="12" xfId="0" applyFont="1" applyFill="1" applyBorder="1" applyAlignment="1">
      <alignment horizontal="left" vertical="top" wrapText="1"/>
    </xf>
    <xf numFmtId="0" fontId="42" fillId="17" borderId="6" xfId="0" applyFont="1" applyFill="1" applyBorder="1" applyAlignment="1">
      <alignment horizontal="left" vertical="top" wrapText="1"/>
    </xf>
    <xf numFmtId="0" fontId="42" fillId="17" borderId="7" xfId="0" applyFont="1" applyFill="1" applyBorder="1" applyAlignment="1">
      <alignment horizontal="left" vertical="top" wrapText="1"/>
    </xf>
    <xf numFmtId="0" fontId="18" fillId="5" borderId="0" xfId="0" applyFont="1" applyFill="1" applyAlignment="1">
      <alignment horizontal="center" wrapText="1"/>
    </xf>
    <xf numFmtId="0" fontId="45" fillId="10" borderId="14" xfId="0" applyFont="1" applyFill="1" applyBorder="1" applyAlignment="1" applyProtection="1">
      <alignment horizontal="center"/>
      <protection locked="0"/>
    </xf>
    <xf numFmtId="0" fontId="45" fillId="10" borderId="15" xfId="0" applyFont="1" applyFill="1" applyBorder="1" applyAlignment="1" applyProtection="1">
      <alignment horizontal="center"/>
      <protection locked="0"/>
    </xf>
    <xf numFmtId="0" fontId="45" fillId="5" borderId="0" xfId="0" applyFont="1" applyFill="1" applyBorder="1" applyAlignment="1" applyProtection="1">
      <alignment horizontal="center"/>
      <protection locked="0"/>
    </xf>
    <xf numFmtId="0" fontId="45" fillId="18" borderId="14" xfId="0" applyFont="1" applyFill="1" applyBorder="1" applyAlignment="1" applyProtection="1">
      <alignment horizontal="center"/>
      <protection locked="0"/>
    </xf>
    <xf numFmtId="0" fontId="45" fillId="18" borderId="15" xfId="0" applyFont="1" applyFill="1" applyBorder="1" applyAlignment="1" applyProtection="1">
      <alignment horizontal="center"/>
      <protection locked="0"/>
    </xf>
    <xf numFmtId="0" fontId="2" fillId="10" borderId="16" xfId="0" applyFont="1" applyFill="1" applyBorder="1" applyAlignment="1" applyProtection="1">
      <alignment horizontal="center" vertical="center" wrapText="1"/>
      <protection locked="0"/>
    </xf>
    <xf numFmtId="0" fontId="2" fillId="10" borderId="17" xfId="0" applyFont="1" applyFill="1" applyBorder="1" applyAlignment="1" applyProtection="1">
      <alignment horizontal="center" vertical="center" wrapText="1"/>
      <protection locked="0"/>
    </xf>
    <xf numFmtId="0" fontId="2" fillId="10" borderId="50" xfId="0" applyFont="1" applyFill="1" applyBorder="1" applyAlignment="1" applyProtection="1">
      <alignment horizontal="center" vertical="center" wrapText="1"/>
      <protection locked="0"/>
    </xf>
    <xf numFmtId="0" fontId="2" fillId="18" borderId="14" xfId="0" applyFont="1" applyFill="1" applyBorder="1" applyAlignment="1" applyProtection="1">
      <alignment horizontal="center"/>
      <protection locked="0"/>
    </xf>
    <xf numFmtId="0" fontId="2" fillId="18" borderId="15" xfId="0" applyFont="1" applyFill="1" applyBorder="1" applyAlignment="1" applyProtection="1">
      <alignment horizontal="center"/>
      <protection locked="0"/>
    </xf>
    <xf numFmtId="0" fontId="0" fillId="0" borderId="45" xfId="0" applyFill="1" applyBorder="1" applyAlignment="1">
      <alignment horizontal="center"/>
    </xf>
    <xf numFmtId="0" fontId="2" fillId="8" borderId="14" xfId="0" applyFont="1" applyFill="1" applyBorder="1" applyAlignment="1" applyProtection="1">
      <alignment horizontal="center"/>
    </xf>
    <xf numFmtId="0" fontId="2" fillId="8" borderId="15" xfId="0" applyFont="1" applyFill="1" applyBorder="1" applyAlignment="1" applyProtection="1">
      <alignment horizontal="center"/>
    </xf>
    <xf numFmtId="0" fontId="89" fillId="8" borderId="16" xfId="10" applyFont="1" applyFill="1" applyBorder="1" applyAlignment="1" applyProtection="1">
      <alignment horizontal="center" vertical="center" wrapText="1"/>
      <protection locked="0"/>
    </xf>
    <xf numFmtId="0" fontId="89" fillId="8" borderId="18" xfId="10" applyFont="1" applyFill="1" applyBorder="1" applyAlignment="1" applyProtection="1">
      <alignment horizontal="center" vertical="center" wrapText="1"/>
      <protection locked="0"/>
    </xf>
    <xf numFmtId="0" fontId="14" fillId="0" borderId="3" xfId="0" applyFont="1" applyFill="1" applyBorder="1" applyAlignment="1">
      <alignment horizontal="left" vertical="top" wrapText="1"/>
    </xf>
    <xf numFmtId="0" fontId="14" fillId="0" borderId="0" xfId="0" applyFont="1" applyFill="1" applyBorder="1" applyAlignment="1">
      <alignment horizontal="left" vertical="top" wrapText="1"/>
    </xf>
    <xf numFmtId="0" fontId="43" fillId="0" borderId="10" xfId="0" applyFont="1" applyFill="1" applyBorder="1" applyAlignment="1">
      <alignment horizontal="left" wrapText="1"/>
    </xf>
    <xf numFmtId="0" fontId="43" fillId="0" borderId="3" xfId="0" applyFont="1" applyFill="1" applyBorder="1" applyAlignment="1">
      <alignment horizontal="left" wrapText="1"/>
    </xf>
    <xf numFmtId="0" fontId="43" fillId="0" borderId="4" xfId="0" applyFont="1" applyFill="1" applyBorder="1" applyAlignment="1">
      <alignment horizontal="left" wrapText="1"/>
    </xf>
    <xf numFmtId="0" fontId="64" fillId="0" borderId="12" xfId="0" applyFont="1" applyFill="1" applyBorder="1" applyAlignment="1">
      <alignment horizontal="left" wrapText="1"/>
    </xf>
    <xf numFmtId="0" fontId="64" fillId="0" borderId="6" xfId="0" applyFont="1" applyFill="1" applyBorder="1" applyAlignment="1">
      <alignment horizontal="left" wrapText="1"/>
    </xf>
    <xf numFmtId="0" fontId="64" fillId="0" borderId="7" xfId="0" applyFont="1" applyFill="1" applyBorder="1" applyAlignment="1">
      <alignment horizontal="left" wrapText="1"/>
    </xf>
    <xf numFmtId="0" fontId="37" fillId="0" borderId="0" xfId="0" applyFont="1" applyFill="1" applyAlignment="1">
      <alignment horizontal="center"/>
    </xf>
    <xf numFmtId="0" fontId="0" fillId="0" borderId="0" xfId="0" applyFill="1" applyAlignment="1">
      <alignment horizontal="left" vertical="top" wrapText="1"/>
    </xf>
    <xf numFmtId="0" fontId="0" fillId="0" borderId="29" xfId="0" applyFill="1" applyBorder="1" applyAlignment="1">
      <alignment horizontal="left" vertical="top" wrapText="1"/>
    </xf>
    <xf numFmtId="0" fontId="11" fillId="0" borderId="34" xfId="0" applyFont="1" applyFill="1" applyBorder="1" applyAlignment="1">
      <alignment horizontal="left" vertical="top" wrapText="1"/>
    </xf>
    <xf numFmtId="0" fontId="11" fillId="0" borderId="35" xfId="0" applyFont="1" applyFill="1" applyBorder="1" applyAlignment="1">
      <alignment horizontal="left" vertical="top" wrapText="1"/>
    </xf>
    <xf numFmtId="0" fontId="11" fillId="0" borderId="36" xfId="0" applyFont="1" applyFill="1" applyBorder="1" applyAlignment="1">
      <alignment horizontal="left" vertical="top" wrapText="1"/>
    </xf>
    <xf numFmtId="0" fontId="12" fillId="0" borderId="24" xfId="0" applyFont="1" applyFill="1" applyBorder="1" applyAlignment="1">
      <alignment horizontal="center" vertical="center" wrapText="1"/>
    </xf>
    <xf numFmtId="0" fontId="12" fillId="0" borderId="30" xfId="0" applyFont="1" applyFill="1" applyBorder="1" applyAlignment="1">
      <alignment horizontal="center" vertical="center" wrapText="1"/>
    </xf>
    <xf numFmtId="0" fontId="12" fillId="0" borderId="52" xfId="0" applyFont="1" applyFill="1" applyBorder="1" applyAlignment="1">
      <alignment horizontal="center" vertical="center" wrapText="1"/>
    </xf>
    <xf numFmtId="0" fontId="12" fillId="0" borderId="47" xfId="0" applyFont="1" applyFill="1" applyBorder="1" applyAlignment="1">
      <alignment horizontal="left" vertical="top" wrapText="1" indent="1"/>
    </xf>
    <xf numFmtId="0" fontId="12" fillId="0" borderId="47" xfId="0" applyFont="1" applyFill="1" applyBorder="1" applyAlignment="1">
      <alignment horizontal="left" vertical="top" wrapText="1" indent="2"/>
    </xf>
    <xf numFmtId="0" fontId="12" fillId="0" borderId="47" xfId="0" applyFont="1" applyFill="1" applyBorder="1" applyAlignment="1">
      <alignment horizontal="center" vertical="top" wrapText="1"/>
    </xf>
    <xf numFmtId="0" fontId="12" fillId="0" borderId="32" xfId="0" applyFont="1" applyFill="1" applyBorder="1" applyAlignment="1">
      <alignment horizontal="center" vertical="center" wrapText="1"/>
    </xf>
    <xf numFmtId="0" fontId="44" fillId="0" borderId="10" xfId="0" applyFont="1" applyFill="1" applyBorder="1" applyAlignment="1">
      <alignment horizontal="left" wrapText="1"/>
    </xf>
    <xf numFmtId="0" fontId="64" fillId="0" borderId="12" xfId="0" applyFont="1" applyFill="1" applyBorder="1" applyAlignment="1">
      <alignment horizontal="left" vertical="top" wrapText="1"/>
    </xf>
    <xf numFmtId="0" fontId="64" fillId="0" borderId="6" xfId="0" applyFont="1" applyFill="1" applyBorder="1" applyAlignment="1">
      <alignment horizontal="left" vertical="top" wrapText="1"/>
    </xf>
    <xf numFmtId="0" fontId="64" fillId="0" borderId="7" xfId="0" applyFont="1" applyFill="1" applyBorder="1" applyAlignment="1">
      <alignment horizontal="left" vertical="top" wrapText="1"/>
    </xf>
    <xf numFmtId="0" fontId="12" fillId="0" borderId="26" xfId="0" applyFont="1" applyFill="1" applyBorder="1" applyAlignment="1">
      <alignment horizontal="left" vertical="top" wrapText="1" indent="1"/>
    </xf>
    <xf numFmtId="0" fontId="12" fillId="0" borderId="26" xfId="0" applyFont="1" applyFill="1" applyBorder="1" applyAlignment="1">
      <alignment horizontal="center" vertical="top" wrapText="1"/>
    </xf>
    <xf numFmtId="0" fontId="12" fillId="0" borderId="49" xfId="0" applyFont="1" applyFill="1" applyBorder="1" applyAlignment="1">
      <alignment horizontal="center" vertical="center" wrapText="1"/>
    </xf>
    <xf numFmtId="0" fontId="12" fillId="0" borderId="20" xfId="0" applyFont="1" applyFill="1" applyBorder="1" applyAlignment="1">
      <alignment horizontal="left" vertical="top" wrapText="1" indent="2"/>
    </xf>
    <xf numFmtId="0" fontId="12" fillId="0" borderId="20" xfId="0" applyFont="1" applyFill="1" applyBorder="1" applyAlignment="1">
      <alignment horizontal="center" vertical="top" wrapText="1"/>
    </xf>
    <xf numFmtId="0" fontId="68" fillId="0" borderId="55" xfId="0" applyFont="1" applyBorder="1" applyAlignment="1">
      <alignment vertical="center" wrapText="1"/>
    </xf>
    <xf numFmtId="0" fontId="68" fillId="0" borderId="56" xfId="0" applyFont="1" applyBorder="1" applyAlignment="1">
      <alignment vertical="center" wrapText="1"/>
    </xf>
    <xf numFmtId="0" fontId="68" fillId="0" borderId="54" xfId="0" applyFont="1" applyBorder="1" applyAlignment="1">
      <alignment vertical="center" wrapText="1"/>
    </xf>
    <xf numFmtId="0" fontId="69" fillId="0" borderId="57" xfId="0" applyFont="1" applyBorder="1" applyAlignment="1">
      <alignment horizontal="center" vertical="center" wrapText="1"/>
    </xf>
    <xf numFmtId="0" fontId="69" fillId="0" borderId="59" xfId="0" applyFont="1" applyBorder="1" applyAlignment="1">
      <alignment horizontal="center" vertical="center" wrapText="1"/>
    </xf>
    <xf numFmtId="0" fontId="69" fillId="0" borderId="58" xfId="0" applyFont="1" applyBorder="1" applyAlignment="1">
      <alignment horizontal="center" vertical="center" wrapText="1"/>
    </xf>
    <xf numFmtId="0" fontId="12" fillId="0" borderId="53" xfId="0" applyFont="1" applyBorder="1" applyAlignment="1">
      <alignment horizontal="left" vertical="center" wrapText="1"/>
    </xf>
    <xf numFmtId="0" fontId="12" fillId="0" borderId="2" xfId="0" applyFont="1" applyBorder="1" applyAlignment="1">
      <alignment horizontal="left" vertical="center" wrapText="1"/>
    </xf>
    <xf numFmtId="0" fontId="12" fillId="0" borderId="13" xfId="0" applyFont="1" applyBorder="1" applyAlignment="1">
      <alignment horizontal="left" vertical="center" wrapText="1"/>
    </xf>
    <xf numFmtId="0" fontId="12" fillId="0" borderId="47" xfId="0" applyFont="1" applyBorder="1" applyAlignment="1">
      <alignment horizontal="left" vertical="center" wrapText="1"/>
    </xf>
    <xf numFmtId="0" fontId="11" fillId="0" borderId="19" xfId="0" applyFont="1" applyFill="1" applyBorder="1" applyAlignment="1">
      <alignment horizontal="left" vertical="top" wrapText="1"/>
    </xf>
    <xf numFmtId="0" fontId="11" fillId="0" borderId="20" xfId="0" applyFont="1" applyFill="1" applyBorder="1" applyAlignment="1">
      <alignment horizontal="left" vertical="top" wrapText="1"/>
    </xf>
    <xf numFmtId="0" fontId="11" fillId="0" borderId="21" xfId="0" applyFont="1" applyFill="1" applyBorder="1" applyAlignment="1">
      <alignment horizontal="left" vertical="top" wrapText="1"/>
    </xf>
    <xf numFmtId="0" fontId="12" fillId="0" borderId="42" xfId="0" applyFont="1" applyBorder="1" applyAlignment="1">
      <alignment horizontal="left" vertical="center" wrapText="1"/>
    </xf>
    <xf numFmtId="0" fontId="12" fillId="0" borderId="68" xfId="0" applyFont="1" applyBorder="1" applyAlignment="1">
      <alignment horizontal="left" vertical="center" wrapText="1"/>
    </xf>
    <xf numFmtId="0" fontId="11" fillId="0" borderId="49" xfId="0" applyFont="1" applyBorder="1" applyAlignment="1">
      <alignment horizontal="center" vertical="top" wrapText="1"/>
    </xf>
    <xf numFmtId="0" fontId="11" fillId="0" borderId="65" xfId="0" applyFont="1" applyBorder="1" applyAlignment="1">
      <alignment horizontal="center" vertical="top" wrapText="1"/>
    </xf>
    <xf numFmtId="0" fontId="11" fillId="0" borderId="52" xfId="0" applyFont="1" applyBorder="1" applyAlignment="1">
      <alignment horizontal="center" vertical="top" wrapText="1"/>
    </xf>
    <xf numFmtId="0" fontId="11" fillId="0" borderId="24" xfId="0" applyFont="1" applyBorder="1" applyAlignment="1">
      <alignment horizontal="center" vertical="top" wrapText="1"/>
    </xf>
    <xf numFmtId="0" fontId="11" fillId="0" borderId="32" xfId="0" applyFont="1" applyBorder="1" applyAlignment="1">
      <alignment horizontal="center" vertical="top" wrapText="1"/>
    </xf>
    <xf numFmtId="0" fontId="18" fillId="0" borderId="0" xfId="0" applyFont="1" applyFill="1" applyBorder="1" applyAlignment="1">
      <alignment horizontal="center"/>
    </xf>
    <xf numFmtId="0" fontId="43" fillId="9" borderId="16" xfId="0" applyFont="1" applyFill="1" applyBorder="1" applyAlignment="1" applyProtection="1">
      <alignment horizontal="left" vertical="center" wrapText="1"/>
      <protection locked="0"/>
    </xf>
    <xf numFmtId="0" fontId="43" fillId="9" borderId="18" xfId="0" applyFont="1" applyFill="1" applyBorder="1" applyAlignment="1" applyProtection="1">
      <alignment horizontal="left" vertical="center" wrapText="1"/>
      <protection locked="0"/>
    </xf>
    <xf numFmtId="0" fontId="56" fillId="5" borderId="0" xfId="0" applyFont="1" applyFill="1" applyBorder="1" applyAlignment="1" applyProtection="1">
      <alignment horizontal="center" vertical="center" wrapText="1"/>
    </xf>
    <xf numFmtId="0" fontId="48" fillId="16" borderId="16" xfId="0" applyFont="1" applyFill="1" applyBorder="1" applyAlignment="1" applyProtection="1">
      <alignment horizontal="center" vertical="center" wrapText="1"/>
    </xf>
    <xf numFmtId="0" fontId="48" fillId="16" borderId="17" xfId="0" applyFont="1" applyFill="1" applyBorder="1" applyAlignment="1" applyProtection="1">
      <alignment horizontal="center" vertical="center" wrapText="1"/>
    </xf>
    <xf numFmtId="0" fontId="48" fillId="16" borderId="18" xfId="0" applyFont="1" applyFill="1" applyBorder="1" applyAlignment="1" applyProtection="1">
      <alignment horizontal="center" vertical="center" wrapText="1"/>
    </xf>
    <xf numFmtId="0" fontId="37" fillId="0" borderId="0" xfId="0" applyFont="1" applyFill="1" applyAlignment="1">
      <alignment horizontal="left" vertical="top"/>
    </xf>
    <xf numFmtId="0" fontId="37" fillId="0" borderId="6" xfId="0" applyFont="1" applyFill="1" applyBorder="1" applyAlignment="1">
      <alignment horizontal="left" vertical="center"/>
    </xf>
    <xf numFmtId="0" fontId="37" fillId="0" borderId="0" xfId="0" applyFont="1" applyFill="1" applyBorder="1" applyAlignment="1">
      <alignment horizontal="left" vertical="center"/>
    </xf>
    <xf numFmtId="0" fontId="46" fillId="10" borderId="10" xfId="0" applyFont="1" applyFill="1" applyBorder="1" applyAlignment="1">
      <alignment horizontal="center" vertical="center" wrapText="1"/>
    </xf>
    <xf numFmtId="0" fontId="46" fillId="10" borderId="12" xfId="0" applyFont="1" applyFill="1" applyBorder="1" applyAlignment="1">
      <alignment horizontal="center" vertical="center" wrapText="1"/>
    </xf>
    <xf numFmtId="3" fontId="9" fillId="6" borderId="4" xfId="0" applyNumberFormat="1" applyFont="1" applyFill="1" applyBorder="1" applyAlignment="1">
      <alignment horizontal="center" vertical="center"/>
    </xf>
    <xf numFmtId="3" fontId="9" fillId="6" borderId="7" xfId="0" applyNumberFormat="1" applyFont="1" applyFill="1" applyBorder="1" applyAlignment="1">
      <alignment horizontal="center" vertical="center"/>
    </xf>
    <xf numFmtId="4" fontId="9" fillId="6" borderId="68" xfId="0" applyNumberFormat="1" applyFont="1" applyFill="1" applyBorder="1" applyAlignment="1">
      <alignment horizontal="center" vertical="center"/>
    </xf>
    <xf numFmtId="4" fontId="9" fillId="6" borderId="42" xfId="0" applyNumberFormat="1" applyFont="1" applyFill="1" applyBorder="1" applyAlignment="1">
      <alignment horizontal="center" vertical="center"/>
    </xf>
    <xf numFmtId="0" fontId="46" fillId="10" borderId="68" xfId="0" applyFont="1" applyFill="1" applyBorder="1" applyAlignment="1">
      <alignment horizontal="center" vertical="center" wrapText="1"/>
    </xf>
    <xf numFmtId="0" fontId="46" fillId="10" borderId="42" xfId="0" applyFont="1" applyFill="1" applyBorder="1" applyAlignment="1">
      <alignment horizontal="center" vertical="center" wrapText="1"/>
    </xf>
    <xf numFmtId="167" fontId="9" fillId="6" borderId="68" xfId="0" applyNumberFormat="1" applyFont="1" applyFill="1" applyBorder="1" applyAlignment="1">
      <alignment horizontal="center" vertical="center"/>
    </xf>
    <xf numFmtId="167" fontId="9" fillId="6" borderId="42" xfId="0" applyNumberFormat="1" applyFont="1" applyFill="1" applyBorder="1" applyAlignment="1">
      <alignment horizontal="center" vertical="center"/>
    </xf>
    <xf numFmtId="0" fontId="37" fillId="6" borderId="16" xfId="0" applyFont="1" applyFill="1" applyBorder="1" applyAlignment="1">
      <alignment horizontal="left" vertical="center"/>
    </xf>
    <xf numFmtId="0" fontId="37" fillId="6" borderId="17" xfId="0" applyFont="1" applyFill="1" applyBorder="1" applyAlignment="1">
      <alignment horizontal="left" vertical="center"/>
    </xf>
    <xf numFmtId="0" fontId="37" fillId="6" borderId="18" xfId="0" applyFont="1" applyFill="1" applyBorder="1" applyAlignment="1">
      <alignment horizontal="left" vertical="center"/>
    </xf>
    <xf numFmtId="0" fontId="42" fillId="27" borderId="10" xfId="0" applyFont="1" applyFill="1" applyBorder="1" applyAlignment="1" applyProtection="1">
      <alignment horizontal="left" wrapText="1"/>
    </xf>
    <xf numFmtId="0" fontId="42" fillId="27" borderId="3" xfId="0" applyFont="1" applyFill="1" applyBorder="1" applyAlignment="1" applyProtection="1">
      <alignment horizontal="left" wrapText="1"/>
    </xf>
    <xf numFmtId="0" fontId="42" fillId="27" borderId="4" xfId="0" applyFont="1" applyFill="1" applyBorder="1" applyAlignment="1" applyProtection="1">
      <alignment horizontal="left" wrapText="1"/>
    </xf>
    <xf numFmtId="0" fontId="42" fillId="27" borderId="12" xfId="0" applyFont="1" applyFill="1" applyBorder="1" applyAlignment="1" applyProtection="1">
      <alignment horizontal="left" vertical="center" wrapText="1"/>
    </xf>
    <xf numFmtId="0" fontId="42" fillId="27" borderId="6" xfId="0" applyFont="1" applyFill="1" applyBorder="1" applyAlignment="1" applyProtection="1">
      <alignment horizontal="left" vertical="center" wrapText="1"/>
    </xf>
    <xf numFmtId="0" fontId="42" fillId="27" borderId="7" xfId="0" applyFont="1" applyFill="1" applyBorder="1" applyAlignment="1" applyProtection="1">
      <alignment horizontal="left" vertical="center" wrapText="1"/>
    </xf>
    <xf numFmtId="0" fontId="38" fillId="0" borderId="0" xfId="0" applyFont="1" applyFill="1" applyBorder="1" applyAlignment="1" applyProtection="1">
      <alignment horizontal="left" vertical="center" wrapText="1"/>
    </xf>
    <xf numFmtId="0" fontId="38" fillId="0" borderId="0" xfId="0" applyFont="1" applyFill="1" applyBorder="1" applyAlignment="1" applyProtection="1">
      <alignment horizontal="left" wrapText="1"/>
      <protection locked="0"/>
    </xf>
    <xf numFmtId="0" fontId="6" fillId="0" borderId="0" xfId="0" applyFont="1" applyFill="1" applyBorder="1" applyAlignment="1" applyProtection="1">
      <alignment horizontal="center"/>
      <protection locked="0"/>
    </xf>
    <xf numFmtId="0" fontId="57" fillId="10" borderId="47" xfId="0" applyFont="1" applyFill="1" applyBorder="1" applyAlignment="1" applyProtection="1">
      <alignment horizontal="left" vertical="center"/>
      <protection locked="0"/>
    </xf>
    <xf numFmtId="0" fontId="96" fillId="5" borderId="0" xfId="0" applyFont="1" applyFill="1" applyAlignment="1" applyProtection="1">
      <alignment horizontal="left" vertical="center" wrapText="1"/>
      <protection locked="0"/>
    </xf>
    <xf numFmtId="0" fontId="97" fillId="5" borderId="0" xfId="0" applyFont="1" applyFill="1" applyAlignment="1" applyProtection="1">
      <alignment horizontal="left" vertical="center" wrapText="1"/>
      <protection locked="0"/>
    </xf>
    <xf numFmtId="0" fontId="96" fillId="0" borderId="0" xfId="0" applyFont="1" applyAlignment="1" applyProtection="1">
      <alignment horizontal="left" vertical="top" wrapText="1"/>
      <protection locked="0"/>
    </xf>
    <xf numFmtId="0" fontId="45" fillId="10" borderId="0" xfId="0" applyFont="1" applyFill="1" applyAlignment="1" applyProtection="1">
      <alignment horizontal="center" vertical="center"/>
      <protection locked="0"/>
    </xf>
    <xf numFmtId="0" fontId="45" fillId="10" borderId="0" xfId="0" applyFont="1" applyFill="1" applyBorder="1" applyAlignment="1" applyProtection="1">
      <alignment horizontal="center" vertical="center"/>
      <protection locked="0"/>
    </xf>
    <xf numFmtId="0" fontId="45" fillId="10" borderId="37" xfId="0" applyFont="1" applyFill="1" applyBorder="1" applyAlignment="1" applyProtection="1">
      <alignment horizontal="center" vertical="center"/>
      <protection locked="0"/>
    </xf>
    <xf numFmtId="0" fontId="77" fillId="11" borderId="16" xfId="0" applyFont="1" applyFill="1" applyBorder="1" applyAlignment="1" applyProtection="1">
      <alignment horizontal="center"/>
      <protection locked="0"/>
    </xf>
    <xf numFmtId="0" fontId="77" fillId="11" borderId="17" xfId="0" applyFont="1" applyFill="1" applyBorder="1" applyAlignment="1" applyProtection="1">
      <alignment horizontal="center"/>
      <protection locked="0"/>
    </xf>
    <xf numFmtId="0" fontId="77" fillId="11" borderId="18" xfId="0" applyFont="1" applyFill="1" applyBorder="1" applyAlignment="1" applyProtection="1">
      <alignment horizontal="center"/>
      <protection locked="0"/>
    </xf>
    <xf numFmtId="0" fontId="77" fillId="2" borderId="16" xfId="0" applyFont="1" applyFill="1" applyBorder="1" applyAlignment="1" applyProtection="1">
      <alignment horizontal="center"/>
      <protection locked="0"/>
    </xf>
    <xf numFmtId="0" fontId="77" fillId="2" borderId="17" xfId="0" applyFont="1" applyFill="1" applyBorder="1" applyAlignment="1" applyProtection="1">
      <alignment horizontal="center"/>
      <protection locked="0"/>
    </xf>
    <xf numFmtId="0" fontId="77" fillId="2" borderId="18" xfId="0" applyFont="1" applyFill="1" applyBorder="1" applyAlignment="1" applyProtection="1">
      <alignment horizontal="center"/>
      <protection locked="0"/>
    </xf>
    <xf numFmtId="0" fontId="77" fillId="28" borderId="16" xfId="0" applyFont="1" applyFill="1" applyBorder="1" applyAlignment="1" applyProtection="1">
      <alignment horizontal="center"/>
      <protection locked="0"/>
    </xf>
    <xf numFmtId="0" fontId="77" fillId="28" borderId="17" xfId="0" applyFont="1" applyFill="1" applyBorder="1" applyAlignment="1" applyProtection="1">
      <alignment horizontal="center"/>
      <protection locked="0"/>
    </xf>
    <xf numFmtId="0" fontId="77" fillId="28" borderId="18" xfId="0" applyFont="1" applyFill="1" applyBorder="1" applyAlignment="1" applyProtection="1">
      <alignment horizontal="center"/>
      <protection locked="0"/>
    </xf>
    <xf numFmtId="0" fontId="44" fillId="18" borderId="16" xfId="0" applyFont="1" applyFill="1" applyBorder="1" applyAlignment="1" applyProtection="1">
      <alignment horizontal="left" vertical="center" wrapText="1"/>
      <protection locked="0"/>
    </xf>
    <xf numFmtId="0" fontId="44" fillId="18" borderId="18" xfId="0" applyFont="1" applyFill="1" applyBorder="1" applyAlignment="1" applyProtection="1">
      <alignment horizontal="left" vertical="center" wrapText="1"/>
      <protection locked="0"/>
    </xf>
    <xf numFmtId="0" fontId="77" fillId="0" borderId="0" xfId="0" applyFont="1" applyAlignment="1" applyProtection="1">
      <alignment horizontal="left" wrapText="1"/>
      <protection locked="0"/>
    </xf>
    <xf numFmtId="0" fontId="9" fillId="0" borderId="0" xfId="0" applyFont="1" applyAlignment="1" applyProtection="1">
      <alignment horizontal="left" vertical="top" wrapText="1"/>
      <protection locked="0"/>
    </xf>
    <xf numFmtId="0" fontId="0" fillId="22" borderId="10" xfId="0" applyFont="1" applyFill="1" applyBorder="1" applyAlignment="1" applyProtection="1">
      <alignment horizontal="left" wrapText="1"/>
    </xf>
    <xf numFmtId="0" fontId="0" fillId="22" borderId="3" xfId="0" applyFont="1" applyFill="1" applyBorder="1" applyAlignment="1" applyProtection="1">
      <alignment horizontal="left" wrapText="1"/>
    </xf>
    <xf numFmtId="0" fontId="0" fillId="22" borderId="4" xfId="0" applyFont="1" applyFill="1" applyBorder="1" applyAlignment="1" applyProtection="1">
      <alignment horizontal="left" wrapText="1"/>
    </xf>
    <xf numFmtId="0" fontId="0" fillId="22" borderId="11" xfId="0" applyFont="1" applyFill="1" applyBorder="1" applyAlignment="1" applyProtection="1">
      <alignment horizontal="left" wrapText="1"/>
    </xf>
    <xf numFmtId="0" fontId="0" fillId="22" borderId="0" xfId="0" applyFont="1" applyFill="1" applyBorder="1" applyAlignment="1" applyProtection="1">
      <alignment horizontal="left" wrapText="1"/>
    </xf>
    <xf numFmtId="0" fontId="0" fillId="22" borderId="5" xfId="0" applyFont="1" applyFill="1" applyBorder="1" applyAlignment="1" applyProtection="1">
      <alignment horizontal="left" wrapText="1"/>
    </xf>
    <xf numFmtId="0" fontId="0" fillId="6" borderId="12" xfId="0" applyFont="1" applyFill="1" applyBorder="1" applyAlignment="1" applyProtection="1">
      <alignment horizontal="left" wrapText="1"/>
    </xf>
    <xf numFmtId="0" fontId="5" fillId="6" borderId="6" xfId="0" applyFont="1" applyFill="1" applyBorder="1" applyAlignment="1" applyProtection="1">
      <alignment horizontal="left" wrapText="1"/>
    </xf>
    <xf numFmtId="0" fontId="5" fillId="6" borderId="7" xfId="0" applyFont="1" applyFill="1" applyBorder="1" applyAlignment="1" applyProtection="1">
      <alignment horizontal="left" wrapText="1"/>
    </xf>
    <xf numFmtId="0" fontId="9" fillId="6" borderId="0" xfId="0" applyFont="1" applyFill="1" applyBorder="1" applyAlignment="1">
      <alignment horizontal="left" vertical="top" wrapText="1"/>
    </xf>
  </cellXfs>
  <cellStyles count="11">
    <cellStyle name="Hipervínculo 2" xfId="3" xr:uid="{00000000-0005-0000-0000-000000000000}"/>
    <cellStyle name="Hyperlink" xfId="10" builtinId="8"/>
    <cellStyle name="Hyperlink 2" xfId="5" xr:uid="{00000000-0005-0000-0000-000001000000}"/>
    <cellStyle name="Komma" xfId="1" builtinId="3"/>
    <cellStyle name="Neutraal" xfId="2" builtinId="28"/>
    <cellStyle name="Normal 2" xfId="6" xr:uid="{00000000-0005-0000-0000-000005000000}"/>
    <cellStyle name="Normal 3" xfId="4" xr:uid="{00000000-0005-0000-0000-000006000000}"/>
    <cellStyle name="Percent 2" xfId="7" xr:uid="{00000000-0005-0000-0000-000007000000}"/>
    <cellStyle name="Pourcentage 2" xfId="8" xr:uid="{00000000-0005-0000-0000-000008000000}"/>
    <cellStyle name="Pourcentage 3" xfId="9" xr:uid="{00000000-0005-0000-0000-000009000000}"/>
    <cellStyle name="Standaard" xfId="0" builtinId="0"/>
  </cellStyles>
  <dxfs count="167">
    <dxf>
      <border>
        <left style="thin">
          <color auto="1"/>
        </left>
        <right style="thin">
          <color auto="1"/>
        </right>
        <top style="thin">
          <color auto="1"/>
        </top>
        <bottom style="thin">
          <color auto="1"/>
        </bottom>
        <vertical/>
        <horizontal/>
      </border>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ndense val="0"/>
        <extend val="0"/>
        <color indexed="9"/>
      </font>
      <fill>
        <patternFill>
          <bgColor indexed="9"/>
        </patternFill>
      </fill>
    </dxf>
    <dxf>
      <border>
        <left style="thin">
          <color auto="1"/>
        </left>
        <right style="thin">
          <color auto="1"/>
        </right>
        <top style="thin">
          <color auto="1"/>
        </top>
        <bottom style="thin">
          <color auto="1"/>
        </bottom>
        <vertical/>
        <horizontal/>
      </border>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dxf>
    <dxf>
      <fill>
        <patternFill>
          <bgColor rgb="FFFF0000"/>
        </patternFill>
      </fill>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color theme="0" tint="-0.34998626667073579"/>
      </font>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dxf>
    <dxf>
      <font>
        <color theme="0" tint="-0.34998626667073579"/>
      </font>
    </dxf>
    <dxf>
      <font>
        <color theme="0" tint="-0.34998626667073579"/>
      </font>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dxf>
    <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dxf>
    <dxf>
      <font>
        <color theme="0" tint="-0.34998626667073579"/>
      </font>
      <fill>
        <patternFill>
          <bgColor theme="0" tint="-4.9989318521683403E-2"/>
        </patternFill>
      </fill>
      <border>
        <left style="dashed">
          <color theme="0" tint="-0.14996795556505021"/>
        </left>
        <right style="dashed">
          <color theme="0" tint="-0.14996795556505021"/>
        </right>
        <top style="dashed">
          <color theme="0" tint="-0.14996795556505021"/>
        </top>
        <bottom style="dashed">
          <color theme="0" tint="-0.14996795556505021"/>
        </bottom>
        <vertical/>
        <horizontal/>
      </border>
    </dxf>
    <dxf>
      <font>
        <b val="0"/>
        <i val="0"/>
        <strike val="0"/>
        <condense val="0"/>
        <extend val="0"/>
        <outline val="0"/>
        <shadow val="0"/>
        <u val="none"/>
        <vertAlign val="baseline"/>
        <sz val="11"/>
        <color rgb="FFFF0000"/>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rgb="FFFF0000"/>
        <name val="Calibri"/>
        <scheme val="minor"/>
      </font>
      <fill>
        <patternFill patternType="solid">
          <fgColor indexed="64"/>
          <bgColor theme="0"/>
        </patternFill>
      </fill>
    </dxf>
    <dxf>
      <font>
        <b val="0"/>
        <i val="0"/>
        <strike val="0"/>
        <condense val="0"/>
        <extend val="0"/>
        <outline val="0"/>
        <shadow val="0"/>
        <u val="none"/>
        <vertAlign val="baseline"/>
        <sz val="11"/>
        <color rgb="FFFF0000"/>
        <name val="Calibri"/>
        <scheme val="minor"/>
      </font>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0" formatCode="General"/>
      <fill>
        <patternFill patternType="solid">
          <fgColor indexed="64"/>
          <bgColor theme="0"/>
        </patternFill>
      </fill>
    </dxf>
    <dxf>
      <font>
        <b val="0"/>
        <i val="0"/>
        <strike val="0"/>
        <condense val="0"/>
        <extend val="0"/>
        <outline val="0"/>
        <shadow val="0"/>
        <u val="none"/>
        <vertAlign val="baseline"/>
        <sz val="11"/>
        <color rgb="FFFF0000"/>
        <name val="Calibri"/>
        <scheme val="minor"/>
      </font>
      <fill>
        <patternFill patternType="solid">
          <fgColor indexed="64"/>
          <bgColor theme="0"/>
        </patternFill>
      </fill>
    </dxf>
    <dxf>
      <font>
        <b val="0"/>
        <i val="0"/>
        <strike val="0"/>
        <condense val="0"/>
        <extend val="0"/>
        <outline val="0"/>
        <shadow val="0"/>
        <u val="none"/>
        <vertAlign val="baseline"/>
        <sz val="11"/>
        <color rgb="FFFF0000"/>
        <name val="Calibri"/>
        <scheme val="minor"/>
      </font>
      <fill>
        <patternFill patternType="solid">
          <fgColor indexed="64"/>
          <bgColor theme="0"/>
        </patternFill>
      </fill>
    </dxf>
    <dxf>
      <font>
        <b val="0"/>
        <i val="0"/>
        <strike val="0"/>
        <condense val="0"/>
        <extend val="0"/>
        <outline val="0"/>
        <shadow val="0"/>
        <u val="none"/>
        <vertAlign val="baseline"/>
        <sz val="11"/>
        <color rgb="FFFF0000"/>
        <name val="Calibri"/>
        <scheme val="minor"/>
      </font>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165" formatCode="0.0"/>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165" formatCode="0.0"/>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165" formatCode="0.0"/>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165" formatCode="0.0"/>
      <fill>
        <patternFill patternType="solid">
          <fgColor indexed="64"/>
          <bgColor theme="0"/>
        </patternFill>
      </fill>
    </dxf>
    <dxf>
      <font>
        <b val="0"/>
        <i val="0"/>
        <strike val="0"/>
        <condense val="0"/>
        <extend val="0"/>
        <outline val="0"/>
        <shadow val="0"/>
        <u val="none"/>
        <vertAlign val="baseline"/>
        <sz val="11"/>
        <color rgb="FFFF0000"/>
        <name val="Calibri"/>
        <scheme val="minor"/>
      </font>
      <numFmt numFmtId="165" formatCode="0.0"/>
      <fill>
        <patternFill patternType="solid">
          <fgColor indexed="64"/>
          <bgColor theme="0"/>
        </patternFill>
      </fill>
    </dxf>
    <dxf>
      <numFmt numFmtId="165" formatCode="0.0"/>
      <fill>
        <patternFill patternType="none">
          <fgColor indexed="64"/>
          <bgColor indexed="65"/>
        </patternFill>
      </fill>
    </dxf>
    <dxf>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numFmt numFmtId="0" formatCode="General"/>
      <fill>
        <patternFill patternType="none">
          <fgColor indexed="64"/>
          <bgColor indexed="65"/>
        </patternFill>
      </fill>
    </dxf>
    <dxf>
      <font>
        <b val="0"/>
        <i val="0"/>
        <strike val="0"/>
        <condense val="0"/>
        <extend val="0"/>
        <outline val="0"/>
        <shadow val="0"/>
        <u val="none"/>
        <vertAlign val="baseline"/>
        <sz val="11"/>
        <color theme="0" tint="-0.249977111117893"/>
        <name val="Calibri"/>
        <scheme val="minor"/>
      </font>
      <fill>
        <patternFill patternType="solid">
          <fgColor indexed="64"/>
          <bgColor theme="0"/>
        </patternFill>
      </fill>
    </dxf>
    <dxf>
      <font>
        <b val="0"/>
        <i val="0"/>
        <strike val="0"/>
        <condense val="0"/>
        <extend val="0"/>
        <outline val="0"/>
        <shadow val="0"/>
        <u val="none"/>
        <vertAlign val="baseline"/>
        <sz val="11"/>
        <color theme="0" tint="-0.249977111117893"/>
        <name val="Calibri"/>
        <scheme val="minor"/>
      </font>
      <fill>
        <patternFill patternType="solid">
          <fgColor indexed="64"/>
          <bgColor theme="0"/>
        </patternFill>
      </fill>
      <alignment horizontal="center" vertical="bottom" textRotation="0" wrapText="1" relativeIndent="0" justifyLastLine="0" shrinkToFit="0" readingOrder="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65" formatCode="0.0"/>
      <fill>
        <patternFill patternType="none">
          <fgColor indexed="64"/>
          <bgColor auto="1"/>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65" formatCode="0.0"/>
      <fill>
        <patternFill patternType="none">
          <fgColor indexed="64"/>
          <bgColor auto="1"/>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 formatCode="0"/>
      <fill>
        <patternFill patternType="none">
          <fgColor indexed="64"/>
          <bgColor indexed="65"/>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65" formatCode="0.0"/>
      <fill>
        <patternFill patternType="none">
          <fgColor indexed="64"/>
          <bgColor indexed="65"/>
        </patternFill>
      </fill>
      <alignment horizontal="center" vertical="bottom" textRotation="0" wrapText="0" indent="0" justifyLastLine="0" shrinkToFit="0" readingOrder="0"/>
      <protection locked="0" hidden="0"/>
    </dxf>
    <dxf>
      <font>
        <strike val="0"/>
        <outline val="0"/>
        <shadow val="0"/>
        <u val="none"/>
        <vertAlign val="baseline"/>
        <sz val="11"/>
        <name val="Calibri"/>
        <scheme val="minor"/>
      </font>
      <numFmt numFmtId="0" formatCode="General"/>
      <fill>
        <patternFill patternType="none">
          <fgColor indexed="64"/>
          <bgColor auto="1"/>
        </patternFill>
      </fill>
      <protection locked="0" hidden="0"/>
    </dxf>
    <dxf>
      <font>
        <strike val="0"/>
        <outline val="0"/>
        <shadow val="0"/>
        <u val="none"/>
        <vertAlign val="baseline"/>
        <sz val="11"/>
        <name val="Calibri"/>
        <scheme val="minor"/>
      </font>
      <fill>
        <patternFill patternType="none">
          <fgColor indexed="64"/>
          <bgColor auto="1"/>
        </patternFill>
      </fill>
      <alignment horizontal="center" vertical="center" textRotation="0" wrapText="1" indent="0" justifyLastLine="0" shrinkToFit="0" readingOrder="0"/>
      <protection locked="0" hidden="0"/>
    </dxf>
    <dxf>
      <font>
        <b val="0"/>
        <i val="0"/>
        <strike val="0"/>
        <condense val="0"/>
        <extend val="0"/>
        <outline val="0"/>
        <shadow val="0"/>
        <u val="none"/>
        <vertAlign val="baseline"/>
        <sz val="11"/>
        <color theme="7" tint="0.59999389629810485"/>
        <name val="Calibri"/>
        <scheme val="minor"/>
      </font>
      <numFmt numFmtId="0" formatCode="General"/>
      <fill>
        <patternFill patternType="none">
          <fgColor indexed="64"/>
          <bgColor indexed="65"/>
        </patternFill>
      </fill>
      <protection locked="1" hidden="0"/>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bottom" textRotation="0" wrapText="0" relativeIndent="0" justifyLastLine="0" shrinkToFit="0" readingOrder="0"/>
      <protection locked="0" hidden="0"/>
    </dxf>
    <dxf>
      <numFmt numFmtId="165" formatCode="0.0"/>
      <fill>
        <patternFill patternType="solid">
          <fgColor indexed="64"/>
          <bgColor rgb="FFFFC000"/>
        </patternFill>
      </fill>
    </dxf>
    <dxf>
      <numFmt numFmtId="165" formatCode="0.0"/>
      <fill>
        <patternFill patternType="solid">
          <fgColor indexed="64"/>
          <bgColor rgb="FFFFC000"/>
        </patternFill>
      </fill>
      <alignment horizontal="center" vertical="bottom" textRotation="0" wrapText="0" relativeIndent="0" justifyLastLine="0" shrinkToFit="0" readingOrder="0"/>
    </dxf>
    <dxf>
      <numFmt numFmtId="165" formatCode="0.0"/>
      <fill>
        <patternFill patternType="solid">
          <fgColor indexed="64"/>
          <bgColor rgb="FFFFC000"/>
        </patternFill>
      </fill>
      <alignment horizontal="center" vertical="bottom" textRotation="0" wrapText="0" relativeIndent="0" justifyLastLine="0" shrinkToFit="0" readingOrder="0"/>
    </dxf>
    <dxf>
      <numFmt numFmtId="165" formatCode="0.0"/>
      <fill>
        <patternFill patternType="solid">
          <fgColor indexed="64"/>
          <bgColor rgb="FFFFC000"/>
        </patternFill>
      </fill>
      <alignment horizontal="center" vertical="bottom" textRotation="0" wrapText="0" relativeIndent="0" justifyLastLine="0" shrinkToFit="0" readingOrder="0"/>
    </dxf>
    <dxf>
      <numFmt numFmtId="165" formatCode="0.0"/>
      <fill>
        <patternFill patternType="solid">
          <fgColor indexed="64"/>
          <bgColor rgb="FFFFC000"/>
        </patternFill>
      </fill>
      <alignment horizontal="center" vertical="bottom" textRotation="0" wrapText="0" relativeIndent="0" justifyLastLine="0" shrinkToFit="0" readingOrder="0"/>
    </dxf>
    <dxf>
      <numFmt numFmtId="165" formatCode="0.0"/>
      <fill>
        <patternFill patternType="solid">
          <fgColor indexed="64"/>
          <bgColor rgb="FFFFC00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auto="1"/>
        <name val="Calibri"/>
        <scheme val="minor"/>
      </font>
      <numFmt numFmtId="165" formatCode="0.0"/>
      <fill>
        <patternFill patternType="solid">
          <fgColor indexed="64"/>
          <bgColor rgb="FFFFC000"/>
        </patternFill>
      </fill>
      <alignment horizontal="center" vertical="bottom" textRotation="0" wrapText="0" indent="0" justifyLastLine="0" shrinkToFit="0" readingOrder="0"/>
      <protection locked="0" hidden="0"/>
    </dxf>
    <dxf>
      <border outline="0">
        <top style="medium">
          <color indexed="64"/>
        </top>
      </border>
    </dxf>
    <dxf>
      <fill>
        <patternFill patternType="solid">
          <fgColor indexed="64"/>
          <bgColor rgb="FFFFC000"/>
        </patternFill>
      </fill>
      <alignment horizontal="center" vertical="bottom" textRotation="0" wrapText="0" relativeIndent="0" justifyLastLine="0" shrinkToFit="0" readingOrder="0"/>
    </dxf>
    <dxf>
      <border>
        <bottom style="medium">
          <color indexed="64"/>
        </bottom>
      </border>
    </dxf>
    <dxf>
      <font>
        <b/>
        <i val="0"/>
        <strike val="0"/>
        <condense val="0"/>
        <extend val="0"/>
        <outline val="0"/>
        <shadow val="0"/>
        <u val="none"/>
        <vertAlign val="baseline"/>
        <sz val="10"/>
        <color theme="0"/>
        <name val="Arial"/>
        <scheme val="none"/>
      </font>
      <fill>
        <patternFill patternType="solid">
          <fgColor indexed="64"/>
          <bgColor theme="3" tint="9.9978637043366805E-2"/>
        </patternFill>
      </fill>
      <alignment horizontal="center" vertical="center" textRotation="0" wrapText="1" relativeIndent="0" justifyLastLine="0" shrinkToFit="0" readingOrder="0"/>
      <border diagonalUp="0" diagonalDown="0">
        <left style="thin">
          <color indexed="64"/>
        </left>
        <right style="thin">
          <color indexed="64"/>
        </right>
        <top/>
        <bottom/>
        <vertical style="thin">
          <color indexed="64"/>
        </vertical>
        <horizontal/>
      </border>
    </dxf>
    <dxf>
      <numFmt numFmtId="165" formatCode="0.0"/>
    </dxf>
    <dxf>
      <numFmt numFmtId="165" formatCode="0.0"/>
    </dxf>
    <dxf>
      <numFmt numFmtId="165" formatCode="0.0"/>
    </dxf>
    <dxf>
      <font>
        <b val="0"/>
        <i val="0"/>
        <strike val="0"/>
        <condense val="0"/>
        <extend val="0"/>
        <outline val="0"/>
        <shadow val="0"/>
        <u val="none"/>
        <vertAlign val="baseline"/>
        <sz val="11"/>
        <color rgb="FFFF0000"/>
        <name val="Calibri"/>
        <scheme val="minor"/>
      </font>
      <numFmt numFmtId="2" formatCode="0.00"/>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2" formatCode="0.00"/>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2" formatCode="0.00"/>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2" formatCode="0.00"/>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2" formatCode="0.00"/>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165" formatCode="0.0"/>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0" formatCode="General"/>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numFmt numFmtId="0" formatCode="General"/>
      <fill>
        <patternFill patternType="none">
          <fgColor indexed="64"/>
          <bgColor indexed="65"/>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protection locked="1" hidden="0"/>
    </dxf>
    <dxf>
      <font>
        <b val="0"/>
        <i val="0"/>
        <strike val="0"/>
        <condense val="0"/>
        <extend val="0"/>
        <outline val="0"/>
        <shadow val="0"/>
        <u val="none"/>
        <vertAlign val="baseline"/>
        <sz val="11"/>
        <color rgb="FFFF0000"/>
        <name val="Calibri"/>
        <scheme val="minor"/>
      </font>
      <fill>
        <patternFill patternType="solid">
          <fgColor indexed="64"/>
          <bgColor theme="0"/>
        </patternFill>
      </fill>
      <protection locked="1" hidden="0"/>
    </dxf>
    <dxf>
      <font>
        <b val="0"/>
        <i val="0"/>
        <strike val="0"/>
        <condense val="0"/>
        <extend val="0"/>
        <outline val="0"/>
        <shadow val="0"/>
        <u val="none"/>
        <vertAlign val="baseline"/>
        <sz val="11"/>
        <color rgb="FFFF0000"/>
        <name val="Calibri"/>
        <scheme val="minor"/>
      </font>
      <fill>
        <patternFill patternType="solid">
          <fgColor indexed="64"/>
          <bgColor theme="0"/>
        </patternFill>
      </fill>
      <protection locked="1" hidden="0"/>
    </dxf>
    <dxf>
      <font>
        <b val="0"/>
        <i val="0"/>
        <strike val="0"/>
        <condense val="0"/>
        <extend val="0"/>
        <outline val="0"/>
        <shadow val="0"/>
        <u val="none"/>
        <vertAlign val="baseline"/>
        <sz val="11"/>
        <color rgb="FFFF0000"/>
        <name val="Calibri"/>
        <scheme val="minor"/>
      </font>
      <fill>
        <patternFill patternType="solid">
          <fgColor indexed="64"/>
          <bgColor theme="0"/>
        </patternFill>
      </fill>
      <protection locked="1" hidden="0"/>
    </dxf>
    <dxf>
      <font>
        <strike val="0"/>
        <outline val="0"/>
        <shadow val="0"/>
        <u val="none"/>
        <color rgb="FFFF0000"/>
        <name val="Calibri"/>
        <scheme val="minor"/>
      </font>
      <fill>
        <patternFill patternType="none">
          <fgColor indexed="64"/>
          <bgColor indexed="65"/>
        </patternFill>
      </fill>
      <protection locked="1" hidden="0"/>
    </dxf>
    <dxf>
      <font>
        <strike val="0"/>
        <outline val="0"/>
        <shadow val="0"/>
        <u val="none"/>
        <color rgb="FFFF0000"/>
        <name val="Calibri"/>
        <scheme val="minor"/>
      </font>
      <fill>
        <patternFill patternType="none">
          <fgColor indexed="64"/>
          <bgColor indexed="65"/>
        </patternFill>
      </fill>
      <protection locked="1" hidden="0"/>
    </dxf>
    <dxf>
      <font>
        <strike val="0"/>
        <outline val="0"/>
        <shadow val="0"/>
        <u val="none"/>
        <vertAlign val="baseline"/>
        <color auto="1"/>
        <name val="Calibri"/>
        <scheme val="minor"/>
      </font>
      <fill>
        <patternFill patternType="none">
          <fgColor indexed="64"/>
          <bgColor indexed="65"/>
        </patternFill>
      </fill>
      <alignment horizontal="center" vertical="bottom" textRotation="0" wrapText="0" relativeIndent="0" justifyLastLine="0" shrinkToFit="0" readingOrder="0"/>
      <protection locked="0" hidden="0"/>
    </dxf>
    <dxf>
      <fill>
        <patternFill patternType="solid">
          <fgColor indexed="64"/>
          <bgColor theme="2"/>
        </patternFill>
      </fill>
      <protection locked="0" hidden="0"/>
    </dxf>
    <dxf>
      <numFmt numFmtId="167" formatCode="#,##0.0"/>
      <fill>
        <patternFill patternType="solid">
          <fgColor indexed="64"/>
          <bgColor theme="2"/>
        </patternFill>
      </fill>
      <protection locked="0" hidden="0"/>
    </dxf>
    <dxf>
      <fill>
        <patternFill patternType="solid">
          <fgColor indexed="64"/>
          <bgColor theme="4" tint="0.249977111117893"/>
        </patternFill>
      </fill>
      <protection locked="0" hidden="0"/>
    </dxf>
    <dxf>
      <fill>
        <patternFill patternType="solid">
          <fgColor indexed="64"/>
          <bgColor rgb="FF00CA93"/>
        </patternFill>
      </fill>
      <protection locked="0" hidden="0"/>
    </dxf>
    <dxf>
      <fill>
        <patternFill patternType="solid">
          <fgColor indexed="64"/>
          <bgColor theme="2"/>
        </patternFill>
      </fill>
      <protection locked="0" hidden="0"/>
    </dxf>
    <dxf>
      <font>
        <b val="0"/>
        <i val="0"/>
        <strike val="0"/>
        <condense val="0"/>
        <extend val="0"/>
        <outline val="0"/>
        <shadow val="0"/>
        <u val="none"/>
        <vertAlign val="baseline"/>
        <sz val="11"/>
        <color theme="0"/>
        <name val="Calibri"/>
        <scheme val="minor"/>
      </font>
      <fill>
        <patternFill patternType="solid">
          <fgColor indexed="64"/>
          <bgColor theme="2"/>
        </patternFill>
      </fill>
      <alignment horizontal="general" vertical="top" textRotation="0" wrapText="0"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general" vertical="top" textRotation="0" wrapText="0" relativeIndent="0" justifyLastLine="0" shrinkToFit="0" readingOrder="0"/>
      <protection locked="1" hidden="0"/>
    </dxf>
    <dxf>
      <font>
        <b/>
        <i val="0"/>
        <strike val="0"/>
        <condense val="0"/>
        <extend val="0"/>
        <outline val="0"/>
        <shadow val="0"/>
        <u val="none"/>
        <vertAlign val="baseline"/>
        <sz val="11"/>
        <color rgb="FFFF0000"/>
        <name val="Calibri"/>
        <scheme val="minor"/>
      </font>
      <fill>
        <patternFill patternType="solid">
          <fgColor theme="7"/>
          <bgColor theme="0" tint="-0.249977111117893"/>
        </patternFill>
      </fill>
      <alignment horizontal="center" vertical="center" textRotation="0" wrapText="1" relativeIndent="0" justifyLastLine="0" shrinkToFit="0" readingOrder="0"/>
      <protection locked="1" hidden="0"/>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border diagonalUp="0" diagonalDown="0" outline="0">
        <left/>
        <right/>
        <top/>
        <bottom/>
      </border>
    </dxf>
    <dxf>
      <font>
        <b val="0"/>
        <i val="0"/>
        <strike val="0"/>
        <condense val="0"/>
        <extend val="0"/>
        <outline val="0"/>
        <shadow val="0"/>
        <u val="none"/>
        <vertAlign val="baseline"/>
        <sz val="11"/>
        <color rgb="FFFF0000"/>
        <name val="Calibri"/>
        <scheme val="minor"/>
      </font>
      <numFmt numFmtId="0" formatCode="General"/>
      <fill>
        <patternFill patternType="solid">
          <fgColor indexed="64"/>
          <bgColor theme="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border diagonalUp="0" diagonalDown="0" outline="0">
        <left/>
        <right/>
        <top/>
        <bottom/>
      </border>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border diagonalUp="0" diagonalDown="0" outline="0">
        <left/>
        <right/>
        <top/>
        <bottom/>
      </border>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border diagonalUp="0" diagonalDown="0" outline="0">
        <left/>
        <right/>
        <top/>
        <bottom/>
      </border>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dxf>
    <dxf>
      <fill>
        <patternFill patternType="none">
          <fgColor indexed="64"/>
          <bgColor indexed="65"/>
        </patternFill>
      </fill>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border diagonalUp="0" diagonalDown="0" outline="0">
        <left/>
        <right/>
        <top/>
        <bottom/>
      </border>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border diagonalUp="0" diagonalDown="0" outline="0">
        <left/>
        <right/>
        <top/>
        <bottom/>
      </border>
    </dxf>
    <dxf>
      <font>
        <b val="0"/>
        <i val="0"/>
        <strike val="0"/>
        <condense val="0"/>
        <extend val="0"/>
        <outline val="0"/>
        <shadow val="0"/>
        <u val="none"/>
        <vertAlign val="baseline"/>
        <sz val="11"/>
        <color rgb="FFFF0000"/>
        <name val="Calibri"/>
        <scheme val="minor"/>
      </font>
      <fill>
        <patternFill patternType="solid">
          <fgColor indexed="64"/>
          <bgColor theme="0"/>
        </patternFill>
      </fill>
      <alignment horizontal="center" vertical="bottom" textRotation="0" wrapText="0" relativeIndent="0" justifyLastLine="0" shrinkToFit="0" readingOrder="0"/>
    </dxf>
    <dxf>
      <fill>
        <patternFill patternType="none">
          <fgColor indexed="64"/>
          <bgColor indexed="65"/>
        </patternFill>
      </fill>
      <alignment horizontal="center" vertical="bottom" textRotation="0" wrapText="0" relativeIndent="0" justifyLastLine="0" shrinkToFit="0" readingOrder="0"/>
      <border diagonalUp="0" diagonalDown="0" outline="0">
        <left/>
        <right/>
        <top/>
        <bottom/>
      </border>
      <protection locked="0" hidden="0"/>
    </dxf>
    <dxf>
      <fill>
        <patternFill patternType="none">
          <fgColor indexed="64"/>
          <bgColor indexed="65"/>
        </patternFill>
      </fill>
      <alignment horizontal="center" vertical="bottom" textRotation="0" wrapText="0" relativeIndent="0" justifyLastLine="0" shrinkToFit="0" readingOrder="0"/>
      <protection locked="0" hidden="0"/>
    </dxf>
    <dxf>
      <fill>
        <patternFill patternType="none">
          <fgColor indexed="64"/>
          <bgColor indexed="65"/>
        </patternFill>
      </fill>
      <alignment horizontal="center" vertical="bottom" textRotation="0" wrapText="0" relativeIndent="0" justifyLastLine="0" shrinkToFit="0" readingOrder="0"/>
      <border diagonalUp="0" diagonalDown="0" outline="0">
        <left/>
        <right/>
        <top/>
        <bottom/>
      </border>
      <protection locked="0" hidden="0"/>
    </dxf>
    <dxf>
      <fill>
        <patternFill patternType="none">
          <fgColor indexed="64"/>
          <bgColor indexed="65"/>
        </patternFill>
      </fill>
      <alignment horizontal="center" vertical="bottom" textRotation="0" wrapText="0" relativeIndent="0" justifyLastLine="0" shrinkToFit="0" readingOrder="0"/>
      <protection locked="0" hidden="0"/>
    </dxf>
    <dxf>
      <fill>
        <patternFill patternType="none">
          <fgColor indexed="64"/>
          <bgColor indexed="65"/>
        </patternFill>
      </fill>
      <alignment horizontal="center" vertical="bottom" textRotation="0" wrapText="0" relativeIndent="0" justifyLastLine="0" shrinkToFit="0" readingOrder="0"/>
      <border diagonalUp="0" diagonalDown="0" outline="0">
        <left/>
        <right/>
        <top/>
        <bottom/>
      </border>
      <protection locked="0" hidden="0"/>
    </dxf>
    <dxf>
      <fill>
        <patternFill patternType="none">
          <fgColor indexed="64"/>
          <bgColor indexed="65"/>
        </patternFill>
      </fill>
      <alignment horizontal="center" vertical="bottom" textRotation="0" wrapText="0" relativeIndent="0" justifyLastLine="0" shrinkToFit="0" readingOrder="0"/>
      <protection locked="0" hidden="0"/>
    </dxf>
    <dxf>
      <font>
        <b val="0"/>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bottom" textRotation="0" wrapText="0" relativeIndent="0" justifyLastLine="0" shrinkToFit="0" readingOrder="0"/>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1" relativeIndent="0" justifyLastLine="0" shrinkToFit="0" readingOrder="0"/>
      <protection locked="0" hidden="0"/>
    </dxf>
    <dxf>
      <font>
        <b val="0"/>
        <i val="0"/>
        <strike val="0"/>
        <condense val="0"/>
        <extend val="0"/>
        <outline val="0"/>
        <shadow val="0"/>
        <u val="none"/>
        <vertAlign val="baseline"/>
        <sz val="11"/>
        <color rgb="FFFF0000"/>
        <name val="Calibri"/>
        <scheme val="minor"/>
      </font>
      <fill>
        <patternFill patternType="none">
          <fgColor indexed="64"/>
          <bgColor indexed="65"/>
        </patternFill>
      </fill>
      <alignment horizontal="right" vertical="bottom" textRotation="0" wrapText="0" indent="0" justifyLastLine="0" shrinkToFit="0" readingOrder="0"/>
    </dxf>
    <dxf>
      <font>
        <b val="0"/>
        <i val="0"/>
        <strike val="0"/>
        <condense val="0"/>
        <extend val="0"/>
        <outline val="0"/>
        <shadow val="0"/>
        <u val="none"/>
        <vertAlign val="baseline"/>
        <sz val="11"/>
        <color rgb="FFFF0000"/>
        <name val="Calibri"/>
        <scheme val="minor"/>
      </font>
      <numFmt numFmtId="2" formatCode="0.00"/>
      <fill>
        <patternFill patternType="solid">
          <fgColor theme="4" tint="0.79998168889431442"/>
          <bgColor theme="0"/>
        </patternFill>
      </fill>
      <alignment horizontal="center" vertical="bottom" textRotation="0" wrapText="1" indent="0" justifyLastLine="0" shrinkToFit="0" readingOrder="0"/>
    </dxf>
    <dxf>
      <font>
        <b val="0"/>
        <i val="0"/>
        <strike val="0"/>
        <condense val="0"/>
        <extend val="0"/>
        <outline val="0"/>
        <shadow val="0"/>
        <u val="none"/>
        <vertAlign val="baseline"/>
        <sz val="11"/>
        <color rgb="FFFF0000"/>
        <name val="Calibri"/>
        <scheme val="minor"/>
      </font>
      <numFmt numFmtId="2" formatCode="0.00"/>
      <fill>
        <patternFill patternType="solid">
          <fgColor theme="4" tint="0.79998168889431442"/>
          <bgColor theme="0"/>
        </patternFill>
      </fill>
      <alignment horizontal="center" vertical="bottom" textRotation="0" wrapText="1" indent="0" justifyLastLine="0" shrinkToFit="0" readingOrder="0"/>
    </dxf>
    <dxf>
      <font>
        <b val="0"/>
        <i val="0"/>
        <strike val="0"/>
        <condense val="0"/>
        <extend val="0"/>
        <outline val="0"/>
        <shadow val="0"/>
        <u val="none"/>
        <vertAlign val="baseline"/>
        <sz val="11"/>
        <color rgb="FFFF0000"/>
        <name val="Calibri"/>
        <scheme val="minor"/>
      </font>
      <numFmt numFmtId="2" formatCode="0.00"/>
      <fill>
        <patternFill patternType="solid">
          <fgColor theme="4" tint="0.79998168889431442"/>
          <bgColor theme="0"/>
        </patternFill>
      </fill>
      <alignment horizontal="center" vertical="bottom" textRotation="0" wrapText="0" indent="0" justifyLastLine="0" shrinkToFit="0" readingOrder="0"/>
    </dxf>
    <dxf>
      <font>
        <b val="0"/>
        <i val="0"/>
        <strike val="0"/>
        <condense val="0"/>
        <extend val="0"/>
        <outline val="0"/>
        <shadow val="0"/>
        <u val="none"/>
        <vertAlign val="baseline"/>
        <sz val="11"/>
        <color rgb="FFFF0000"/>
        <name val="Calibri"/>
        <scheme val="minor"/>
      </font>
      <numFmt numFmtId="2" formatCode="0.00"/>
      <fill>
        <patternFill patternType="solid">
          <fgColor theme="4" tint="0.79998168889431442"/>
          <bgColor theme="0"/>
        </patternFill>
      </fill>
      <alignment horizontal="center" vertical="bottom" textRotation="0" wrapText="1" indent="0" justifyLastLine="0" shrinkToFit="0" readingOrder="0"/>
    </dxf>
    <dxf>
      <font>
        <b val="0"/>
        <i val="0"/>
        <strike val="0"/>
        <condense val="0"/>
        <extend val="0"/>
        <outline val="0"/>
        <shadow val="0"/>
        <u val="none"/>
        <vertAlign val="baseline"/>
        <sz val="11"/>
        <color rgb="FFFF0000"/>
        <name val="Calibri"/>
        <scheme val="minor"/>
      </font>
      <numFmt numFmtId="2" formatCode="0.00"/>
      <fill>
        <patternFill patternType="solid">
          <fgColor theme="4" tint="0.79998168889431442"/>
          <bgColor theme="0"/>
        </patternFill>
      </fill>
      <alignment horizontal="center" vertical="bottom" textRotation="0" wrapText="1" indent="0" justifyLastLine="0" shrinkToFit="0" readingOrder="0"/>
    </dxf>
    <dxf>
      <font>
        <b val="0"/>
        <i val="0"/>
        <strike val="0"/>
        <condense val="0"/>
        <extend val="0"/>
        <outline val="0"/>
        <shadow val="0"/>
        <u val="none"/>
        <vertAlign val="baseline"/>
        <sz val="11"/>
        <color rgb="FFFF0000"/>
        <name val="Calibri"/>
        <scheme val="minor"/>
      </font>
      <numFmt numFmtId="2" formatCode="0.00"/>
      <fill>
        <patternFill patternType="solid">
          <fgColor theme="4" tint="0.79998168889431442"/>
          <bgColor theme="0"/>
        </patternFill>
      </fill>
      <alignment horizontal="center" vertical="bottom" textRotation="0" wrapText="0" 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theme="4" tint="0.79998168889431442"/>
          <bgColor theme="0"/>
        </patternFill>
      </fill>
      <alignment horizontal="center" vertical="bottom" textRotation="0" wrapText="0" indent="0" justifyLastLine="0" shrinkToFit="0" readingOrder="0"/>
    </dxf>
    <dxf>
      <font>
        <b val="0"/>
        <i val="0"/>
        <strike val="0"/>
        <condense val="0"/>
        <extend val="0"/>
        <outline val="0"/>
        <shadow val="0"/>
        <u val="none"/>
        <vertAlign val="baseline"/>
        <sz val="11"/>
        <color rgb="FFFF0000"/>
        <name val="Calibri"/>
        <scheme val="minor"/>
      </font>
      <numFmt numFmtId="165" formatCode="0.0"/>
      <fill>
        <patternFill patternType="solid">
          <fgColor theme="4" tint="0.79998168889431442"/>
          <bgColor theme="0"/>
        </patternFill>
      </fill>
      <alignment horizontal="general" vertical="bottom" textRotation="0" wrapText="1" indent="0" justifyLastLine="0" shrinkToFit="0" readingOrder="0"/>
    </dxf>
    <dxf>
      <font>
        <b val="0"/>
        <i val="0"/>
        <strike val="0"/>
        <condense val="0"/>
        <extend val="0"/>
        <outline val="0"/>
        <shadow val="0"/>
        <u val="none"/>
        <vertAlign val="baseline"/>
        <sz val="11"/>
        <color rgb="FFFF0000"/>
        <name val="Calibri"/>
        <scheme val="minor"/>
      </font>
      <numFmt numFmtId="165" formatCode="0.0"/>
      <fill>
        <patternFill patternType="solid">
          <fgColor theme="4" tint="0.79998168889431442"/>
          <bgColor theme="0"/>
        </patternFill>
      </fill>
      <alignment horizontal="general" vertical="bottom" textRotation="0" wrapText="1" indent="0" justifyLastLine="0" shrinkToFit="0" readingOrder="0"/>
    </dxf>
    <dxf>
      <font>
        <b val="0"/>
        <i val="0"/>
        <strike val="0"/>
        <condense val="0"/>
        <extend val="0"/>
        <outline val="0"/>
        <shadow val="0"/>
        <u val="none"/>
        <vertAlign val="baseline"/>
        <sz val="11"/>
        <color rgb="FFFF0000"/>
        <name val="Calibri"/>
        <scheme val="minor"/>
      </font>
      <numFmt numFmtId="165" formatCode="0.0"/>
      <fill>
        <patternFill patternType="solid">
          <fgColor theme="4" tint="0.79998168889431442"/>
          <bgColor theme="0"/>
        </patternFill>
      </fill>
      <alignment horizontal="left" vertical="bottom" textRotation="0" wrapText="0" 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theme="4" tint="0.79998168889431442"/>
          <bgColor theme="0"/>
        </patternFill>
      </fill>
      <alignment horizontal="left" vertical="bottom" textRotation="0" wrapText="0" 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theme="4" tint="0.79998168889431442"/>
          <bgColor theme="0"/>
        </patternFill>
      </fill>
      <alignment horizontal="left" vertical="bottom" textRotation="0" wrapText="0" indent="0" justifyLastLine="0" shrinkToFit="0" readingOrder="0"/>
    </dxf>
    <dxf>
      <font>
        <b val="0"/>
        <i val="0"/>
        <strike val="0"/>
        <condense val="0"/>
        <extend val="0"/>
        <outline val="0"/>
        <shadow val="0"/>
        <u val="none"/>
        <vertAlign val="baseline"/>
        <sz val="11"/>
        <color rgb="FFFF0000"/>
        <name val="Calibri"/>
        <scheme val="minor"/>
      </font>
      <fill>
        <patternFill patternType="solid">
          <fgColor theme="4" tint="0.79998168889431442"/>
          <bgColor theme="0"/>
        </patternFill>
      </fill>
      <alignment horizontal="center" vertical="bottom" textRotation="0" wrapText="1" indent="0" justifyLastLine="0" shrinkToFit="0" readingOrder="0"/>
    </dxf>
    <dxf>
      <font>
        <b/>
        <i val="0"/>
        <strike val="0"/>
        <condense val="0"/>
        <extend val="0"/>
        <outline val="0"/>
        <shadow val="0"/>
        <u val="none"/>
        <vertAlign val="baseline"/>
        <sz val="11"/>
        <color rgb="FFFF0000"/>
        <name val="Calibri"/>
        <scheme val="minor"/>
      </font>
      <fill>
        <patternFill patternType="solid">
          <fgColor theme="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11"/>
        <color auto="1"/>
        <name val="Calibri"/>
        <scheme val="minor"/>
      </font>
      <fill>
        <patternFill patternType="solid">
          <fgColor theme="0" tint="-0.14999847407452621"/>
          <bgColor theme="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theme="0" tint="-0.14999847407452621"/>
          <bgColor theme="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14" formatCode="0.00%"/>
      <fill>
        <patternFill patternType="solid">
          <fgColor theme="0" tint="-0.14999847407452621"/>
          <bgColor theme="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theme="0" tint="-0.14999847407452621"/>
          <bgColor theme="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theme="0" tint="-0.14999847407452621"/>
          <bgColor theme="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numFmt numFmtId="0" formatCode="General"/>
      <fill>
        <patternFill patternType="solid">
          <fgColor theme="0" tint="-0.14999847407452621"/>
          <bgColor theme="0"/>
        </patternFill>
      </fill>
      <alignment horizontal="center" vertical="bottom" textRotation="0" wrapText="0" 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theme="0" tint="-0.14999847407452621"/>
          <bgColor theme="0"/>
        </patternFill>
      </fill>
      <alignment horizontal="center" vertical="bottom" textRotation="0" wrapText="0" indent="0" justifyLastLine="0" shrinkToFit="0" readingOrder="0"/>
      <protection locked="0" hidden="0"/>
    </dxf>
    <dxf>
      <font>
        <b/>
        <i val="0"/>
        <strike val="0"/>
        <condense val="0"/>
        <extend val="0"/>
        <outline val="0"/>
        <shadow val="0"/>
        <u val="none"/>
        <vertAlign val="baseline"/>
        <sz val="11"/>
        <color theme="0"/>
        <name val="Calibri"/>
        <scheme val="minor"/>
      </font>
      <fill>
        <patternFill patternType="solid">
          <fgColor indexed="64"/>
          <bgColor theme="3" tint="9.9978637043366805E-2"/>
        </patternFill>
      </fill>
      <alignment horizontal="center" vertical="center" textRotation="0" wrapText="1" relative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1"/>
        <color theme="1"/>
        <name val="Calibri"/>
        <scheme val="minor"/>
      </font>
      <fill>
        <patternFill patternType="solid">
          <fgColor theme="0" tint="-0.14999847407452621"/>
          <bgColor theme="0"/>
        </patternFill>
      </fill>
    </dxf>
    <dxf>
      <font>
        <b val="0"/>
        <i val="0"/>
        <strike val="0"/>
        <condense val="0"/>
        <extend val="0"/>
        <outline val="0"/>
        <shadow val="0"/>
        <u val="none"/>
        <vertAlign val="baseline"/>
        <sz val="11"/>
        <color theme="1"/>
        <name val="Calibri"/>
        <scheme val="minor"/>
      </font>
      <fill>
        <patternFill patternType="solid">
          <fgColor theme="0" tint="-0.14999847407452621"/>
          <bgColor theme="0"/>
        </patternFill>
      </fill>
    </dxf>
    <dxf>
      <font>
        <b val="0"/>
        <i val="0"/>
        <strike val="0"/>
        <condense val="0"/>
        <extend val="0"/>
        <outline val="0"/>
        <shadow val="0"/>
        <u val="none"/>
        <vertAlign val="baseline"/>
        <sz val="11"/>
        <color theme="1"/>
        <name val="Calibri"/>
        <scheme val="minor"/>
      </font>
      <fill>
        <patternFill patternType="solid">
          <fgColor theme="0" tint="-0.14999847407452621"/>
          <bgColor theme="0"/>
        </patternFill>
      </fill>
      <alignment horizontal="center" vertical="bottom" textRotation="0" wrapText="0" relativeIndent="0" justifyLastLine="0" shrinkToFit="0" readingOrder="0"/>
    </dxf>
    <dxf>
      <font>
        <b val="0"/>
        <i val="0"/>
        <strike val="0"/>
        <condense val="0"/>
        <extend val="0"/>
        <outline val="0"/>
        <shadow val="0"/>
        <u val="none"/>
        <vertAlign val="baseline"/>
        <sz val="11"/>
        <color theme="1"/>
        <name val="Calibri"/>
        <scheme val="minor"/>
      </font>
      <fill>
        <patternFill patternType="solid">
          <fgColor theme="0" tint="-0.14999847407452621"/>
          <bgColor theme="4" tint="0.249977111117893"/>
        </patternFill>
      </fill>
      <protection locked="0" hidden="0"/>
    </dxf>
    <dxf>
      <font>
        <b val="0"/>
        <i val="0"/>
        <strike val="0"/>
        <condense val="0"/>
        <extend val="0"/>
        <outline val="0"/>
        <shadow val="0"/>
        <u val="none"/>
        <vertAlign val="baseline"/>
        <sz val="11"/>
        <color theme="1"/>
        <name val="Calibri"/>
        <scheme val="minor"/>
      </font>
      <fill>
        <patternFill patternType="solid">
          <fgColor theme="0" tint="-0.14999847407452621"/>
          <bgColor theme="4" tint="0.249977111117893"/>
        </patternFill>
      </fill>
      <protection locked="0" hidden="0"/>
    </dxf>
    <dxf>
      <font>
        <b val="0"/>
        <i val="0"/>
        <strike val="0"/>
        <condense val="0"/>
        <extend val="0"/>
        <outline val="0"/>
        <shadow val="0"/>
        <u val="none"/>
        <vertAlign val="baseline"/>
        <sz val="11"/>
        <color theme="1"/>
        <name val="Calibri"/>
        <scheme val="minor"/>
      </font>
      <numFmt numFmtId="1" formatCode="0"/>
      <fill>
        <patternFill patternType="solid">
          <fgColor theme="0" tint="-0.14999847407452621"/>
          <bgColor theme="0"/>
        </patternFill>
      </fill>
      <alignment horizontal="center" vertical="center" textRotation="0" wrapText="1" relativeIndent="0" justifyLastLine="0" shrinkToFit="0" readingOrder="0"/>
      <protection locked="0" hidden="0"/>
    </dxf>
    <dxf>
      <font>
        <b val="0"/>
        <i val="0"/>
        <strike val="0"/>
        <condense val="0"/>
        <extend val="0"/>
        <outline val="0"/>
        <shadow val="0"/>
        <u val="none"/>
        <vertAlign val="baseline"/>
        <sz val="11"/>
        <color auto="1"/>
        <name val="Calibri"/>
        <scheme val="minor"/>
      </font>
      <fill>
        <patternFill patternType="solid">
          <fgColor theme="0" tint="-0.14999847407452621"/>
          <bgColor theme="0"/>
        </patternFill>
      </fill>
      <alignment horizontal="center" vertical="bottom" textRotation="0" wrapText="0" relativeIndent="0" justifyLastLine="0" shrinkToFit="0" readingOrder="0"/>
      <protection locked="0" hidden="0"/>
    </dxf>
    <dxf>
      <font>
        <b/>
        <i val="0"/>
        <strike val="0"/>
        <condense val="0"/>
        <extend val="0"/>
        <outline val="0"/>
        <shadow val="0"/>
        <u val="none"/>
        <vertAlign val="baseline"/>
        <sz val="12"/>
        <color theme="0"/>
        <name val="Calibri"/>
        <scheme val="minor"/>
      </font>
      <fill>
        <patternFill patternType="none">
          <fgColor indexed="64"/>
          <bgColor indexed="65"/>
        </patternFill>
      </fill>
      <alignment horizontal="center" vertical="center" textRotation="0" wrapText="1" relativeIndent="0" justifyLastLine="0" shrinkToFit="0" readingOrder="0"/>
    </dxf>
    <dxf>
      <font>
        <b val="0"/>
        <i val="0"/>
        <strike val="0"/>
        <condense val="0"/>
        <extend val="0"/>
        <outline val="0"/>
        <shadow val="0"/>
        <u val="none"/>
        <vertAlign val="baseline"/>
        <sz val="11"/>
        <color theme="1"/>
        <name val="Calibri"/>
        <scheme val="minor"/>
      </font>
      <fill>
        <patternFill patternType="none">
          <fgColor indexed="64"/>
          <bgColor indexed="65"/>
        </patternFill>
      </fill>
      <protection locked="0" hidden="0"/>
    </dxf>
    <dxf>
      <font>
        <b val="0"/>
        <i val="0"/>
        <strike val="0"/>
        <condense val="0"/>
        <extend val="0"/>
        <outline val="0"/>
        <shadow val="0"/>
        <u val="none"/>
        <vertAlign val="baseline"/>
        <sz val="11"/>
        <color theme="1"/>
        <name val="Calibri"/>
        <scheme val="minor"/>
      </font>
      <fill>
        <patternFill patternType="none">
          <fgColor indexed="64"/>
          <bgColor indexed="65"/>
        </patternFill>
      </fill>
      <border outline="0">
        <left style="thin">
          <color indexed="64"/>
        </left>
      </border>
      <protection locked="0" hidden="0"/>
    </dxf>
    <dxf>
      <font>
        <b val="0"/>
        <i val="0"/>
        <strike val="0"/>
        <condense val="0"/>
        <extend val="0"/>
        <outline val="0"/>
        <shadow val="0"/>
        <u val="none"/>
        <vertAlign val="baseline"/>
        <sz val="9"/>
        <color auto="1"/>
        <name val="Verdana"/>
        <scheme val="none"/>
      </font>
      <fill>
        <patternFill patternType="solid">
          <fgColor indexed="64"/>
          <bgColor theme="0"/>
        </patternFill>
      </fill>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protection locked="0" hidden="0"/>
    </dxf>
    <dxf>
      <font>
        <b val="0"/>
        <i val="0"/>
        <strike val="0"/>
        <condense val="0"/>
        <extend val="0"/>
        <outline val="0"/>
        <shadow val="0"/>
        <u val="none"/>
        <vertAlign val="baseline"/>
        <sz val="11"/>
        <color theme="1"/>
        <name val="Calibri"/>
        <scheme val="minor"/>
      </font>
      <fill>
        <patternFill patternType="none">
          <fgColor indexed="64"/>
          <bgColor indexed="65"/>
        </patternFill>
      </fill>
      <border diagonalUp="0" diagonalDown="0">
        <left style="medium">
          <color indexed="64"/>
        </left>
        <right style="thin">
          <color indexed="64"/>
        </right>
        <top style="thin">
          <color indexed="64"/>
        </top>
        <bottom style="thin">
          <color indexed="64"/>
        </bottom>
        <vertical/>
        <horizontal/>
      </border>
      <protection locked="0" hidden="0"/>
    </dxf>
    <dxf>
      <border outline="0">
        <top style="medium">
          <color indexed="64"/>
        </top>
      </border>
    </dxf>
    <dxf>
      <font>
        <b val="0"/>
        <i val="0"/>
        <strike val="0"/>
        <condense val="0"/>
        <extend val="0"/>
        <outline val="0"/>
        <shadow val="0"/>
        <u val="none"/>
        <vertAlign val="baseline"/>
        <sz val="11"/>
        <color theme="1"/>
        <name val="Calibri"/>
        <scheme val="minor"/>
      </font>
      <fill>
        <patternFill patternType="none">
          <fgColor indexed="64"/>
          <bgColor indexed="65"/>
        </patternFill>
      </fill>
      <protection locked="0" hidden="0"/>
    </dxf>
    <dxf>
      <border outline="0">
        <bottom style="medium">
          <color indexed="64"/>
        </bottom>
      </border>
    </dxf>
  </dxfs>
  <tableStyles count="1" defaultTableStyle="TableStyleMedium2" defaultPivotStyle="PivotStyleMedium9">
    <tableStyle name="MySqlDefault" pivot="0" table="0" count="0" xr9:uid="{00000000-0011-0000-FFFF-FFFF00000000}"/>
  </tableStyles>
  <colors>
    <mruColors>
      <color rgb="FF00CA93"/>
      <color rgb="FFD5E8CE"/>
      <color rgb="FFA5FBB5"/>
      <color rgb="FFA5E25C"/>
      <color rgb="FF94CC7E"/>
      <color rgb="FFFF3300"/>
      <color rgb="FF006600"/>
      <color rgb="FFFFFF00"/>
      <color rgb="FFE3DA63"/>
      <color rgb="FF81290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pivotCacheDefinition" Target="pivotCache/pivotCacheDefinition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pivotCacheDefinition" Target="pivotCache/pivotCacheDefinition2.xml"/><Relationship Id="rId27"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29"/>
    </mc:Choice>
    <mc:Fallback>
      <c:style val="29"/>
    </mc:Fallback>
  </mc:AlternateContent>
  <c:chart>
    <c:title>
      <c:tx>
        <c:rich>
          <a:bodyPr/>
          <a:lstStyle/>
          <a:p>
            <a:pPr>
              <a:defRPr lang="en-US" sz="1400"/>
            </a:pPr>
            <a:r>
              <a:rPr lang="en-US" sz="1400"/>
              <a:t>Carbon in wood products</a:t>
            </a:r>
          </a:p>
        </c:rich>
      </c:tx>
      <c:overlay val="0"/>
    </c:title>
    <c:autoTitleDeleted val="0"/>
    <c:plotArea>
      <c:layout>
        <c:manualLayout>
          <c:layoutTarget val="inner"/>
          <c:xMode val="edge"/>
          <c:yMode val="edge"/>
          <c:x val="0.38726978864484729"/>
          <c:y val="0.14795629581298508"/>
          <c:w val="0.51925611272274419"/>
          <c:h val="0.61947593441176962"/>
        </c:manualLayout>
      </c:layout>
      <c:barChart>
        <c:barDir val="bar"/>
        <c:grouping val="clustered"/>
        <c:varyColors val="0"/>
        <c:ser>
          <c:idx val="0"/>
          <c:order val="0"/>
          <c:invertIfNegative val="0"/>
          <c:cat>
            <c:strRef>
              <c:f>Results!$Q$30:$Q$34</c:f>
              <c:strCache>
                <c:ptCount val="5"/>
                <c:pt idx="0">
                  <c:v>Sawnwood</c:v>
                </c:pt>
                <c:pt idx="1">
                  <c:v>Wood-based panels</c:v>
                </c:pt>
                <c:pt idx="2">
                  <c:v>Other industrial round wood</c:v>
                </c:pt>
                <c:pt idx="3">
                  <c:v>Paper and paper board</c:v>
                </c:pt>
                <c:pt idx="4">
                  <c:v>Other</c:v>
                </c:pt>
              </c:strCache>
            </c:strRef>
          </c:cat>
          <c:val>
            <c:numRef>
              <c:f>Results!$R$30:$R$34</c:f>
              <c:numCache>
                <c:formatCode>0.000</c:formatCode>
                <c:ptCount val="5"/>
                <c:pt idx="0">
                  <c:v>304.2969599999999</c:v>
                </c:pt>
                <c:pt idx="1">
                  <c:v>0</c:v>
                </c:pt>
                <c:pt idx="2">
                  <c:v>8.3175399999999708</c:v>
                </c:pt>
                <c:pt idx="3">
                  <c:v>7.1293199999999599</c:v>
                </c:pt>
                <c:pt idx="4">
                  <c:v>0</c:v>
                </c:pt>
              </c:numCache>
            </c:numRef>
          </c:val>
          <c:extLst>
            <c:ext xmlns:c16="http://schemas.microsoft.com/office/drawing/2014/chart" uri="{C3380CC4-5D6E-409C-BE32-E72D297353CC}">
              <c16:uniqueId val="{00000000-A132-4CA1-875F-C366C6D70DC6}"/>
            </c:ext>
          </c:extLst>
        </c:ser>
        <c:dLbls>
          <c:showLegendKey val="0"/>
          <c:showVal val="0"/>
          <c:showCatName val="0"/>
          <c:showSerName val="0"/>
          <c:showPercent val="0"/>
          <c:showBubbleSize val="0"/>
        </c:dLbls>
        <c:gapWidth val="55"/>
        <c:axId val="186341136"/>
        <c:axId val="186338392"/>
      </c:barChart>
      <c:catAx>
        <c:axId val="186341136"/>
        <c:scaling>
          <c:orientation val="minMax"/>
        </c:scaling>
        <c:delete val="0"/>
        <c:axPos val="l"/>
        <c:numFmt formatCode="General" sourceLinked="0"/>
        <c:majorTickMark val="none"/>
        <c:minorTickMark val="none"/>
        <c:tickLblPos val="nextTo"/>
        <c:txPr>
          <a:bodyPr/>
          <a:lstStyle/>
          <a:p>
            <a:pPr>
              <a:defRPr lang="en-US" sz="1100"/>
            </a:pPr>
            <a:endParaRPr lang="en-US"/>
          </a:p>
        </c:txPr>
        <c:crossAx val="186338392"/>
        <c:crosses val="autoZero"/>
        <c:auto val="1"/>
        <c:lblAlgn val="ctr"/>
        <c:lblOffset val="100"/>
        <c:noMultiLvlLbl val="0"/>
      </c:catAx>
      <c:valAx>
        <c:axId val="186338392"/>
        <c:scaling>
          <c:orientation val="minMax"/>
        </c:scaling>
        <c:delete val="0"/>
        <c:axPos val="b"/>
        <c:majorGridlines/>
        <c:title>
          <c:tx>
            <c:rich>
              <a:bodyPr/>
              <a:lstStyle/>
              <a:p>
                <a:pPr>
                  <a:defRPr lang="en-US"/>
                </a:pPr>
                <a:r>
                  <a:rPr lang="en-US"/>
                  <a:t>tCO2e</a:t>
                </a:r>
              </a:p>
            </c:rich>
          </c:tx>
          <c:overlay val="0"/>
        </c:title>
        <c:numFmt formatCode="0.000" sourceLinked="1"/>
        <c:majorTickMark val="none"/>
        <c:minorTickMark val="none"/>
        <c:tickLblPos val="nextTo"/>
        <c:txPr>
          <a:bodyPr/>
          <a:lstStyle/>
          <a:p>
            <a:pPr>
              <a:defRPr lang="en-US"/>
            </a:pPr>
            <a:endParaRPr lang="en-US"/>
          </a:p>
        </c:txPr>
        <c:crossAx val="186341136"/>
        <c:crosses val="autoZero"/>
        <c:crossBetween val="between"/>
      </c:valAx>
      <c:spPr>
        <a:noFill/>
        <a:ln w="25400">
          <a:noFill/>
        </a:ln>
      </c:spPr>
    </c:plotArea>
    <c:plotVisOnly val="1"/>
    <c:dispBlanksAs val="gap"/>
    <c:showDLblsOverMax val="0"/>
  </c:chart>
  <c:spPr>
    <a:solidFill>
      <a:schemeClr val="tx2">
        <a:lumMod val="90000"/>
        <a:lumOff val="10000"/>
      </a:schemeClr>
    </a:solidFill>
    <a:ln w="19050">
      <a:solidFill>
        <a:sysClr val="windowText" lastClr="000000"/>
      </a:solidFill>
    </a:ln>
  </c:spPr>
  <c:txPr>
    <a:bodyPr/>
    <a:lstStyle/>
    <a:p>
      <a:pPr>
        <a:defRPr>
          <a:solidFill>
            <a:schemeClr val="bg1"/>
          </a:solidFill>
        </a:defRPr>
      </a:pPr>
      <a:endParaRPr lang="en-US"/>
    </a:p>
  </c:txPr>
  <c:printSettings>
    <c:headerFooter/>
    <c:pageMargins b="0.75000000000000622" l="0.70000000000000062" r="0.70000000000000062" t="0.75000000000000622"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29"/>
    </mc:Choice>
    <mc:Fallback>
      <c:style val="29"/>
    </mc:Fallback>
  </mc:AlternateContent>
  <c:chart>
    <c:title>
      <c:tx>
        <c:rich>
          <a:bodyPr/>
          <a:lstStyle/>
          <a:p>
            <a:pPr>
              <a:defRPr lang="en-US" sz="1400"/>
            </a:pPr>
            <a:r>
              <a:rPr lang="en-US" sz="1400"/>
              <a:t>Comparison of carbon stocks </a:t>
            </a:r>
          </a:p>
        </c:rich>
      </c:tx>
      <c:overlay val="0"/>
    </c:title>
    <c:autoTitleDeleted val="0"/>
    <c:plotArea>
      <c:layout>
        <c:manualLayout>
          <c:layoutTarget val="inner"/>
          <c:xMode val="edge"/>
          <c:yMode val="edge"/>
          <c:x val="0.17332521113943891"/>
          <c:y val="0.14795629581298508"/>
          <c:w val="0.73320067083305163"/>
          <c:h val="0.61947593441176962"/>
        </c:manualLayout>
      </c:layout>
      <c:barChart>
        <c:barDir val="bar"/>
        <c:grouping val="clustered"/>
        <c:varyColors val="0"/>
        <c:ser>
          <c:idx val="0"/>
          <c:order val="0"/>
          <c:tx>
            <c:strRef>
              <c:f>Results!$C$49</c:f>
              <c:strCache>
                <c:ptCount val="1"/>
                <c:pt idx="0">
                  <c:v>Total forest carbon stocks FMU (tCO2e)</c:v>
                </c:pt>
              </c:strCache>
            </c:strRef>
          </c:tx>
          <c:invertIfNegative val="0"/>
          <c:cat>
            <c:numRef>
              <c:f>Results!$D$47:$E$47</c:f>
              <c:numCache>
                <c:formatCode>0</c:formatCode>
                <c:ptCount val="2"/>
                <c:pt idx="0">
                  <c:v>2015</c:v>
                </c:pt>
                <c:pt idx="1">
                  <c:v>2015</c:v>
                </c:pt>
              </c:numCache>
            </c:numRef>
          </c:cat>
          <c:val>
            <c:numRef>
              <c:f>Results!$D$49:$E$49</c:f>
              <c:numCache>
                <c:formatCode>#,##0.0</c:formatCode>
                <c:ptCount val="2"/>
                <c:pt idx="0">
                  <c:v>144874.60314336984</c:v>
                </c:pt>
                <c:pt idx="1">
                  <c:v>144874.60314336987</c:v>
                </c:pt>
              </c:numCache>
            </c:numRef>
          </c:val>
          <c:extLst>
            <c:ext xmlns:c16="http://schemas.microsoft.com/office/drawing/2014/chart" uri="{C3380CC4-5D6E-409C-BE32-E72D297353CC}">
              <c16:uniqueId val="{00000000-C663-47F8-AACD-DD6E7BD64E0E}"/>
            </c:ext>
          </c:extLst>
        </c:ser>
        <c:dLbls>
          <c:showLegendKey val="0"/>
          <c:showVal val="0"/>
          <c:showCatName val="0"/>
          <c:showSerName val="0"/>
          <c:showPercent val="0"/>
          <c:showBubbleSize val="0"/>
        </c:dLbls>
        <c:gapWidth val="55"/>
        <c:axId val="186341528"/>
        <c:axId val="186340744"/>
      </c:barChart>
      <c:catAx>
        <c:axId val="186341528"/>
        <c:scaling>
          <c:orientation val="minMax"/>
        </c:scaling>
        <c:delete val="0"/>
        <c:axPos val="l"/>
        <c:numFmt formatCode="General" sourceLinked="0"/>
        <c:majorTickMark val="none"/>
        <c:minorTickMark val="none"/>
        <c:tickLblPos val="nextTo"/>
        <c:txPr>
          <a:bodyPr/>
          <a:lstStyle/>
          <a:p>
            <a:pPr>
              <a:defRPr lang="en-US" sz="1100"/>
            </a:pPr>
            <a:endParaRPr lang="en-US"/>
          </a:p>
        </c:txPr>
        <c:crossAx val="186340744"/>
        <c:crosses val="autoZero"/>
        <c:auto val="1"/>
        <c:lblAlgn val="ctr"/>
        <c:lblOffset val="100"/>
        <c:noMultiLvlLbl val="0"/>
      </c:catAx>
      <c:valAx>
        <c:axId val="186340744"/>
        <c:scaling>
          <c:orientation val="minMax"/>
        </c:scaling>
        <c:delete val="0"/>
        <c:axPos val="b"/>
        <c:majorGridlines/>
        <c:title>
          <c:tx>
            <c:rich>
              <a:bodyPr/>
              <a:lstStyle/>
              <a:p>
                <a:pPr>
                  <a:defRPr lang="en-US"/>
                </a:pPr>
                <a:r>
                  <a:rPr lang="en-US"/>
                  <a:t>tCO2e</a:t>
                </a:r>
              </a:p>
            </c:rich>
          </c:tx>
          <c:overlay val="0"/>
        </c:title>
        <c:numFmt formatCode="#,##0.0" sourceLinked="1"/>
        <c:majorTickMark val="none"/>
        <c:minorTickMark val="none"/>
        <c:tickLblPos val="nextTo"/>
        <c:txPr>
          <a:bodyPr/>
          <a:lstStyle/>
          <a:p>
            <a:pPr>
              <a:defRPr lang="en-US"/>
            </a:pPr>
            <a:endParaRPr lang="en-US"/>
          </a:p>
        </c:txPr>
        <c:crossAx val="186341528"/>
        <c:crosses val="autoZero"/>
        <c:crossBetween val="between"/>
      </c:valAx>
      <c:spPr>
        <a:noFill/>
        <a:ln w="25400">
          <a:noFill/>
        </a:ln>
      </c:spPr>
    </c:plotArea>
    <c:plotVisOnly val="1"/>
    <c:dispBlanksAs val="gap"/>
    <c:showDLblsOverMax val="0"/>
  </c:chart>
  <c:spPr>
    <a:solidFill>
      <a:schemeClr val="tx2">
        <a:lumMod val="90000"/>
        <a:lumOff val="10000"/>
      </a:schemeClr>
    </a:solidFill>
    <a:ln w="19050">
      <a:solidFill>
        <a:sysClr val="windowText" lastClr="000000"/>
      </a:solidFill>
    </a:ln>
  </c:spPr>
  <c:txPr>
    <a:bodyPr/>
    <a:lstStyle/>
    <a:p>
      <a:pPr>
        <a:defRPr>
          <a:solidFill>
            <a:schemeClr val="bg1"/>
          </a:solidFill>
        </a:defRPr>
      </a:pPr>
      <a:endParaRPr lang="en-US"/>
    </a:p>
  </c:txPr>
  <c:printSettings>
    <c:headerFooter/>
    <c:pageMargins b="0.75000000000000622" l="0.70000000000000062" r="0.70000000000000062" t="0.750000000000006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de-DE" sz="150" b="1" i="0" u="none" strike="noStrike" baseline="0">
                <a:solidFill>
                  <a:srgbClr val="000000"/>
                </a:solidFill>
                <a:latin typeface="Arial"/>
                <a:ea typeface="Arial"/>
                <a:cs typeface="Arial"/>
              </a:defRPr>
            </a:pPr>
            <a:r>
              <a:rPr lang="de-DE"/>
              <a:t>Yield Curve</a:t>
            </a:r>
          </a:p>
        </c:rich>
      </c:tx>
      <c:overlay val="0"/>
      <c:spPr>
        <a:noFill/>
        <a:ln w="25400">
          <a:noFill/>
        </a:ln>
      </c:spPr>
    </c:title>
    <c:autoTitleDeleted val="0"/>
    <c:plotArea>
      <c:layout/>
      <c:scatterChart>
        <c:scatterStyle val="smoothMarker"/>
        <c:varyColors val="0"/>
        <c:ser>
          <c:idx val="0"/>
          <c:order val="0"/>
          <c:tx>
            <c:v>Actual</c:v>
          </c:tx>
          <c:spPr>
            <a:ln w="28575">
              <a:noFill/>
            </a:ln>
          </c:spPr>
          <c:marker>
            <c:symbol val="diamond"/>
            <c:size val="5"/>
            <c:spPr>
              <a:solidFill>
                <a:srgbClr val="000080"/>
              </a:solidFill>
              <a:ln>
                <a:solidFill>
                  <a:srgbClr val="000080"/>
                </a:solidFill>
                <a:prstDash val="solid"/>
              </a:ln>
            </c:spPr>
          </c:marker>
          <c:xVal>
            <c:numLit>
              <c:formatCode>General</c:formatCode>
              <c:ptCount val="21"/>
              <c:pt idx="0">
                <c:v>0</c:v>
              </c:pt>
              <c:pt idx="1">
                <c:v>5</c:v>
              </c:pt>
              <c:pt idx="2">
                <c:v>10</c:v>
              </c:pt>
              <c:pt idx="3">
                <c:v>15</c:v>
              </c:pt>
              <c:pt idx="4">
                <c:v>20</c:v>
              </c:pt>
            </c:numLit>
          </c:xVal>
          <c:yVal>
            <c:numLit>
              <c:formatCode>General</c:formatCode>
              <c:ptCount val="21"/>
              <c:pt idx="0">
                <c:v>0</c:v>
              </c:pt>
              <c:pt idx="1">
                <c:v>10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numLit>
          </c:yVal>
          <c:smooth val="1"/>
          <c:extLst>
            <c:ext xmlns:c16="http://schemas.microsoft.com/office/drawing/2014/chart" uri="{C3380CC4-5D6E-409C-BE32-E72D297353CC}">
              <c16:uniqueId val="{00000000-3549-40E2-9730-BD3B57B5761F}"/>
            </c:ext>
          </c:extLst>
        </c:ser>
        <c:ser>
          <c:idx val="1"/>
          <c:order val="1"/>
          <c:tx>
            <c:v>Modelled</c:v>
          </c:tx>
          <c:spPr>
            <a:ln w="12700">
              <a:solidFill>
                <a:srgbClr val="FF00FF"/>
              </a:solidFill>
              <a:prstDash val="solid"/>
            </a:ln>
          </c:spPr>
          <c:marker>
            <c:symbol val="none"/>
          </c:marker>
          <c:xVal>
            <c:numRef>
              <c:f>'Tree Growth Table'!#BEZUG!</c:f>
              <c:numCache>
                <c:formatCode>General</c:formatCode>
                <c:ptCount val="1"/>
                <c:pt idx="0">
                  <c:v>1</c:v>
                </c:pt>
              </c:numCache>
            </c:numRef>
          </c:xVal>
          <c:yVal>
            <c:numRef>
              <c:f>'Tree Growth Table'!#BEZUG!</c:f>
              <c:numCache>
                <c:formatCode>General</c:formatCode>
                <c:ptCount val="1"/>
                <c:pt idx="0">
                  <c:v>1</c:v>
                </c:pt>
              </c:numCache>
            </c:numRef>
          </c:yVal>
          <c:smooth val="0"/>
          <c:extLst>
            <c:ext xmlns:c16="http://schemas.microsoft.com/office/drawing/2014/chart" uri="{C3380CC4-5D6E-409C-BE32-E72D297353CC}">
              <c16:uniqueId val="{00000001-3549-40E2-9730-BD3B57B5761F}"/>
            </c:ext>
          </c:extLst>
        </c:ser>
        <c:dLbls>
          <c:showLegendKey val="0"/>
          <c:showVal val="0"/>
          <c:showCatName val="0"/>
          <c:showSerName val="0"/>
          <c:showPercent val="0"/>
          <c:showBubbleSize val="0"/>
        </c:dLbls>
        <c:axId val="186341920"/>
        <c:axId val="186336040"/>
      </c:scatterChart>
      <c:valAx>
        <c:axId val="186341920"/>
        <c:scaling>
          <c:orientation val="minMax"/>
        </c:scaling>
        <c:delete val="0"/>
        <c:axPos val="b"/>
        <c:title>
          <c:tx>
            <c:rich>
              <a:bodyPr/>
              <a:lstStyle/>
              <a:p>
                <a:pPr>
                  <a:defRPr lang="de-DE" sz="125" b="1" i="0" u="none" strike="noStrike" baseline="0">
                    <a:solidFill>
                      <a:srgbClr val="000000"/>
                    </a:solidFill>
                    <a:latin typeface="Arial"/>
                    <a:ea typeface="Arial"/>
                    <a:cs typeface="Arial"/>
                  </a:defRPr>
                </a:pPr>
                <a:r>
                  <a:rPr lang="de-DE"/>
                  <a:t>Age (years)</a:t>
                </a:r>
              </a:p>
            </c:rich>
          </c:tx>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de-DE" sz="100" b="0" i="0" u="none" strike="noStrike" baseline="0">
                <a:solidFill>
                  <a:srgbClr val="000000"/>
                </a:solidFill>
                <a:latin typeface="Arial"/>
                <a:ea typeface="Arial"/>
                <a:cs typeface="Arial"/>
              </a:defRPr>
            </a:pPr>
            <a:endParaRPr lang="en-US"/>
          </a:p>
        </c:txPr>
        <c:crossAx val="186336040"/>
        <c:crosses val="autoZero"/>
        <c:crossBetween val="midCat"/>
      </c:valAx>
      <c:valAx>
        <c:axId val="186336040"/>
        <c:scaling>
          <c:orientation val="minMax"/>
        </c:scaling>
        <c:delete val="0"/>
        <c:axPos val="l"/>
        <c:title>
          <c:tx>
            <c:rich>
              <a:bodyPr/>
              <a:lstStyle/>
              <a:p>
                <a:pPr>
                  <a:defRPr lang="de-DE" sz="125" b="1" i="0" u="none" strike="noStrike" baseline="0">
                    <a:solidFill>
                      <a:srgbClr val="000000"/>
                    </a:solidFill>
                    <a:latin typeface="Arial"/>
                    <a:ea typeface="Arial"/>
                    <a:cs typeface="Arial"/>
                  </a:defRPr>
                </a:pPr>
                <a:r>
                  <a:rPr lang="de-DE"/>
                  <a:t>Mass (t/ha)</a:t>
                </a:r>
              </a:p>
            </c:rich>
          </c:tx>
          <c:overlay val="0"/>
          <c:spPr>
            <a:noFill/>
            <a:ln w="25400">
              <a:noFill/>
            </a:ln>
          </c:spPr>
        </c:title>
        <c:numFmt formatCode="0" sourceLinked="0"/>
        <c:majorTickMark val="out"/>
        <c:minorTickMark val="none"/>
        <c:tickLblPos val="nextTo"/>
        <c:spPr>
          <a:ln w="3175">
            <a:solidFill>
              <a:srgbClr val="000000"/>
            </a:solidFill>
            <a:prstDash val="solid"/>
          </a:ln>
        </c:spPr>
        <c:txPr>
          <a:bodyPr rot="0" vert="horz"/>
          <a:lstStyle/>
          <a:p>
            <a:pPr>
              <a:defRPr lang="de-DE" sz="100" b="0" i="0" u="none" strike="noStrike" baseline="0">
                <a:solidFill>
                  <a:srgbClr val="000000"/>
                </a:solidFill>
                <a:latin typeface="Arial"/>
                <a:ea typeface="Arial"/>
                <a:cs typeface="Arial"/>
              </a:defRPr>
            </a:pPr>
            <a:endParaRPr lang="en-US"/>
          </a:p>
        </c:txPr>
        <c:crossAx val="186341920"/>
        <c:crosses val="autoZero"/>
        <c:crossBetween val="midCat"/>
      </c:valAx>
      <c:spPr>
        <a:solidFill>
          <a:srgbClr val="DDDDDD"/>
        </a:solidFill>
        <a:ln w="12700">
          <a:solidFill>
            <a:srgbClr val="808080"/>
          </a:solidFill>
          <a:prstDash val="solid"/>
        </a:ln>
      </c:spPr>
    </c:plotArea>
    <c:legend>
      <c:legendPos val="r"/>
      <c:overlay val="0"/>
      <c:spPr>
        <a:solidFill>
          <a:srgbClr val="FFFFFF"/>
        </a:solidFill>
        <a:ln w="3175">
          <a:solidFill>
            <a:srgbClr val="000000"/>
          </a:solidFill>
          <a:prstDash val="solid"/>
        </a:ln>
      </c:spPr>
      <c:txPr>
        <a:bodyPr/>
        <a:lstStyle/>
        <a:p>
          <a:pPr>
            <a:defRPr lang="de-DE" sz="115" b="0" i="0" u="none" strike="noStrike" baseline="0">
              <a:solidFill>
                <a:srgbClr val="000000"/>
              </a:solidFill>
              <a:latin typeface="Arial"/>
              <a:ea typeface="Arial"/>
              <a:cs typeface="Arial"/>
            </a:defRPr>
          </a:pPr>
          <a:endParaRPr lang="en-US"/>
        </a:p>
      </c:txPr>
    </c:legend>
    <c:plotVisOnly val="1"/>
    <c:dispBlanksAs val="gap"/>
    <c:showDLblsOverMax val="0"/>
  </c:chart>
  <c:spPr>
    <a:solidFill>
      <a:srgbClr val="FFFFFF"/>
    </a:solidFill>
    <a:ln w="3175">
      <a:solidFill>
        <a:srgbClr val="000000"/>
      </a:solidFill>
      <a:prstDash val="solid"/>
    </a:ln>
  </c:spPr>
  <c:txPr>
    <a:bodyPr/>
    <a:lstStyle/>
    <a:p>
      <a:pPr>
        <a:defRPr sz="150" b="0" i="0" u="none" strike="noStrike" baseline="0">
          <a:solidFill>
            <a:srgbClr val="000000"/>
          </a:solidFill>
          <a:latin typeface="Arial"/>
          <a:ea typeface="Arial"/>
          <a:cs typeface="Arial"/>
        </a:defRPr>
      </a:pPr>
      <a:endParaRPr lang="en-US"/>
    </a:p>
  </c:txPr>
  <c:printSettings>
    <c:headerFooter alignWithMargins="0"/>
    <c:pageMargins b="0.98425196899999956" l="0.78740157499999996" r="0.78740157499999996" t="0.98425196899999956"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de-DE" sz="1400"/>
            </a:pPr>
            <a:r>
              <a:rPr lang="en-US" sz="1400"/>
              <a:t>Height growth </a:t>
            </a:r>
          </a:p>
        </c:rich>
      </c:tx>
      <c:layout>
        <c:manualLayout>
          <c:xMode val="edge"/>
          <c:yMode val="edge"/>
          <c:x val="0.40889453091206901"/>
          <c:y val="3.0205947479707507E-2"/>
        </c:manualLayout>
      </c:layout>
      <c:overlay val="1"/>
    </c:title>
    <c:autoTitleDeleted val="0"/>
    <c:plotArea>
      <c:layout>
        <c:manualLayout>
          <c:layoutTarget val="inner"/>
          <c:xMode val="edge"/>
          <c:yMode val="edge"/>
          <c:x val="8.9225369135204805E-2"/>
          <c:y val="0.21110476144761084"/>
          <c:w val="0.87585398721510566"/>
          <c:h val="0.6849234267339287"/>
        </c:manualLayout>
      </c:layout>
      <c:lineChart>
        <c:grouping val="standard"/>
        <c:varyColors val="0"/>
        <c:ser>
          <c:idx val="0"/>
          <c:order val="0"/>
          <c:tx>
            <c:strRef>
              <c:f>'Growth Model'!$L$15</c:f>
              <c:strCache>
                <c:ptCount val="1"/>
                <c:pt idx="0">
                  <c:v>Actual height data (m)</c:v>
                </c:pt>
              </c:strCache>
            </c:strRef>
          </c:tx>
          <c:spPr>
            <a:ln>
              <a:noFill/>
            </a:ln>
          </c:spPr>
          <c:marker>
            <c:symbol val="circle"/>
            <c:size val="6"/>
            <c:spPr>
              <a:solidFill>
                <a:srgbClr val="FF0000"/>
              </a:solidFill>
              <a:ln>
                <a:solidFill>
                  <a:srgbClr val="FF0000"/>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'Growth Model'!Actual_height</c:f>
              <c:numCache>
                <c:formatCode>0.0</c:formatCode>
                <c:ptCount val="15"/>
                <c:pt idx="0">
                  <c:v>5</c:v>
                </c:pt>
                <c:pt idx="1">
                  <c:v>#N/A</c:v>
                </c:pt>
                <c:pt idx="2">
                  <c:v>#N/A</c:v>
                </c:pt>
                <c:pt idx="3">
                  <c:v>#N/A</c:v>
                </c:pt>
                <c:pt idx="4">
                  <c:v>5</c:v>
                </c:pt>
                <c:pt idx="5">
                  <c:v>#N/A</c:v>
                </c:pt>
                <c:pt idx="6">
                  <c:v>#N/A</c:v>
                </c:pt>
                <c:pt idx="7">
                  <c:v>7.5121973452622681</c:v>
                </c:pt>
                <c:pt idx="8">
                  <c:v>#N/A</c:v>
                </c:pt>
                <c:pt idx="9">
                  <c:v>9.1746395203852966</c:v>
                </c:pt>
                <c:pt idx="10">
                  <c:v>#N/A</c:v>
                </c:pt>
                <c:pt idx="11">
                  <c:v>#N/A</c:v>
                </c:pt>
                <c:pt idx="12">
                  <c:v>#N/A</c:v>
                </c:pt>
                <c:pt idx="13">
                  <c:v>#N/A</c:v>
                </c:pt>
                <c:pt idx="14">
                  <c:v>10</c:v>
                </c:pt>
              </c:numCache>
            </c:numRef>
          </c:val>
          <c:smooth val="0"/>
          <c:extLst>
            <c:ext xmlns:c16="http://schemas.microsoft.com/office/drawing/2014/chart" uri="{C3380CC4-5D6E-409C-BE32-E72D297353CC}">
              <c16:uniqueId val="{00000000-4F6F-45EC-8E71-41682242AEEA}"/>
            </c:ext>
          </c:extLst>
        </c:ser>
        <c:ser>
          <c:idx val="1"/>
          <c:order val="1"/>
          <c:tx>
            <c:strRef>
              <c:f>'Growth Model'!$P$15</c:f>
              <c:strCache>
                <c:ptCount val="1"/>
                <c:pt idx="0">
                  <c:v>Height model 1 (n=2) (m)</c:v>
                </c:pt>
              </c:strCache>
            </c:strRef>
          </c:tx>
          <c:spPr>
            <a:ln>
              <a:solidFill>
                <a:srgbClr val="92D050"/>
              </a:solidFill>
            </a:ln>
          </c:spPr>
          <c:marker>
            <c:symbol val="square"/>
            <c:size val="4"/>
            <c:spPr>
              <a:solidFill>
                <a:srgbClr val="92D050"/>
              </a:solidFill>
              <a:ln>
                <a:solidFill>
                  <a:srgbClr val="92D050"/>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'Growth Model'!H_model1</c:f>
              <c:numCache>
                <c:formatCode>0.0</c:formatCode>
                <c:ptCount val="15"/>
                <c:pt idx="0">
                  <c:v>4.5438202635379268</c:v>
                </c:pt>
                <c:pt idx="1">
                  <c:v>4.9511708881401493</c:v>
                </c:pt>
                <c:pt idx="2">
                  <c:v>5.35928654073901</c:v>
                </c:pt>
                <c:pt idx="3">
                  <c:v>5.7681672213345099</c:v>
                </c:pt>
                <c:pt idx="4">
                  <c:v>6.1778129299266489</c:v>
                </c:pt>
                <c:pt idx="5">
                  <c:v>6.5882236665154261</c:v>
                </c:pt>
                <c:pt idx="6">
                  <c:v>6.9993994311008425</c:v>
                </c:pt>
                <c:pt idx="7">
                  <c:v>7.4113402236828971</c:v>
                </c:pt>
                <c:pt idx="8">
                  <c:v>7.8240460442615909</c:v>
                </c:pt>
                <c:pt idx="9">
                  <c:v>8.2375168928369238</c:v>
                </c:pt>
                <c:pt idx="10">
                  <c:v>8.651752769408894</c:v>
                </c:pt>
                <c:pt idx="11">
                  <c:v>9.0667536739775052</c:v>
                </c:pt>
                <c:pt idx="12">
                  <c:v>9.4825196065427555</c:v>
                </c:pt>
                <c:pt idx="13">
                  <c:v>9.8990505671046414</c:v>
                </c:pt>
                <c:pt idx="14">
                  <c:v>10.31634655566317</c:v>
                </c:pt>
              </c:numCache>
            </c:numRef>
          </c:val>
          <c:smooth val="0"/>
          <c:extLst>
            <c:ext xmlns:c16="http://schemas.microsoft.com/office/drawing/2014/chart" uri="{C3380CC4-5D6E-409C-BE32-E72D297353CC}">
              <c16:uniqueId val="{00000001-4F6F-45EC-8E71-41682242AEEA}"/>
            </c:ext>
          </c:extLst>
        </c:ser>
        <c:ser>
          <c:idx val="2"/>
          <c:order val="2"/>
          <c:tx>
            <c:strRef>
              <c:f>'Growth Model'!$T$15</c:f>
              <c:strCache>
                <c:ptCount val="1"/>
                <c:pt idx="0">
                  <c:v>Height model 2 (n=3) (m)</c:v>
                </c:pt>
              </c:strCache>
            </c:strRef>
          </c:tx>
          <c:spPr>
            <a:ln>
              <a:solidFill>
                <a:schemeClr val="accent1"/>
              </a:solidFill>
            </a:ln>
          </c:spPr>
          <c:marker>
            <c:symbol val="triangle"/>
            <c:size val="4"/>
            <c:spPr>
              <a:solidFill>
                <a:schemeClr val="accent1"/>
              </a:solidFill>
              <a:ln>
                <a:solidFill>
                  <a:schemeClr val="accent1"/>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'Growth Model'!H_model2</c:f>
              <c:numCache>
                <c:formatCode>0.0</c:formatCode>
                <c:ptCount val="15"/>
                <c:pt idx="0">
                  <c:v>4.9957890336112261</c:v>
                </c:pt>
                <c:pt idx="1">
                  <c:v>4.4522666767041912</c:v>
                </c:pt>
                <c:pt idx="2">
                  <c:v>4.3216411278928888</c:v>
                </c:pt>
                <c:pt idx="3">
                  <c:v>4.5353323941294521</c:v>
                </c:pt>
                <c:pt idx="4">
                  <c:v>5.0247604823660108</c:v>
                </c:pt>
                <c:pt idx="5">
                  <c:v>5.7213453995546928</c:v>
                </c:pt>
                <c:pt idx="6">
                  <c:v>6.5565071526476348</c:v>
                </c:pt>
                <c:pt idx="7">
                  <c:v>7.4616657485969604</c:v>
                </c:pt>
                <c:pt idx="8">
                  <c:v>8.3682411943548036</c:v>
                </c:pt>
                <c:pt idx="9">
                  <c:v>9.2076534968733021</c:v>
                </c:pt>
                <c:pt idx="10">
                  <c:v>9.9113226631045706</c:v>
                </c:pt>
                <c:pt idx="11">
                  <c:v>10.410668700000755</c:v>
                </c:pt>
                <c:pt idx="12">
                  <c:v>10.637111614513977</c:v>
                </c:pt>
                <c:pt idx="13">
                  <c:v>10.522071413596379</c:v>
                </c:pt>
                <c:pt idx="14">
                  <c:v>9.9969681042000751</c:v>
                </c:pt>
              </c:numCache>
            </c:numRef>
          </c:val>
          <c:smooth val="0"/>
          <c:extLst>
            <c:ext xmlns:c16="http://schemas.microsoft.com/office/drawing/2014/chart" uri="{C3380CC4-5D6E-409C-BE32-E72D297353CC}">
              <c16:uniqueId val="{00000002-4F6F-45EC-8E71-41682242AEEA}"/>
            </c:ext>
          </c:extLst>
        </c:ser>
        <c:dLbls>
          <c:showLegendKey val="0"/>
          <c:showVal val="0"/>
          <c:showCatName val="0"/>
          <c:showSerName val="0"/>
          <c:showPercent val="0"/>
          <c:showBubbleSize val="0"/>
        </c:dLbls>
        <c:marker val="1"/>
        <c:smooth val="0"/>
        <c:axId val="186342312"/>
        <c:axId val="186335256"/>
      </c:lineChart>
      <c:catAx>
        <c:axId val="186342312"/>
        <c:scaling>
          <c:orientation val="minMax"/>
        </c:scaling>
        <c:delete val="0"/>
        <c:axPos val="b"/>
        <c:title>
          <c:tx>
            <c:rich>
              <a:bodyPr/>
              <a:lstStyle/>
              <a:p>
                <a:pPr>
                  <a:defRPr lang="de-DE"/>
                </a:pPr>
                <a:r>
                  <a:rPr lang="en-US"/>
                  <a:t>Years</a:t>
                </a:r>
              </a:p>
            </c:rich>
          </c:tx>
          <c:overlay val="0"/>
        </c:title>
        <c:numFmt formatCode="0" sourceLinked="0"/>
        <c:majorTickMark val="out"/>
        <c:minorTickMark val="none"/>
        <c:tickLblPos val="nextTo"/>
        <c:txPr>
          <a:bodyPr/>
          <a:lstStyle/>
          <a:p>
            <a:pPr>
              <a:defRPr lang="de-DE" sz="900"/>
            </a:pPr>
            <a:endParaRPr lang="en-US"/>
          </a:p>
        </c:txPr>
        <c:crossAx val="186335256"/>
        <c:crosses val="autoZero"/>
        <c:auto val="1"/>
        <c:lblAlgn val="ctr"/>
        <c:lblOffset val="100"/>
        <c:noMultiLvlLbl val="0"/>
      </c:catAx>
      <c:valAx>
        <c:axId val="186335256"/>
        <c:scaling>
          <c:orientation val="minMax"/>
        </c:scaling>
        <c:delete val="0"/>
        <c:axPos val="l"/>
        <c:majorGridlines/>
        <c:title>
          <c:tx>
            <c:rich>
              <a:bodyPr rot="0" vert="horz"/>
              <a:lstStyle/>
              <a:p>
                <a:pPr>
                  <a:defRPr lang="de-DE" sz="1100"/>
                </a:pPr>
                <a:r>
                  <a:rPr lang="en-US" sz="1100"/>
                  <a:t>(m)</a:t>
                </a:r>
              </a:p>
            </c:rich>
          </c:tx>
          <c:layout>
            <c:manualLayout>
              <c:xMode val="edge"/>
              <c:yMode val="edge"/>
              <c:x val="4.0511967225303522E-2"/>
              <c:y val="0.14481278430683517"/>
            </c:manualLayout>
          </c:layout>
          <c:overlay val="0"/>
        </c:title>
        <c:numFmt formatCode="0.0" sourceLinked="1"/>
        <c:majorTickMark val="out"/>
        <c:minorTickMark val="none"/>
        <c:tickLblPos val="nextTo"/>
        <c:txPr>
          <a:bodyPr/>
          <a:lstStyle/>
          <a:p>
            <a:pPr>
              <a:defRPr lang="de-DE" sz="1000"/>
            </a:pPr>
            <a:endParaRPr lang="en-US"/>
          </a:p>
        </c:txPr>
        <c:crossAx val="186342312"/>
        <c:crosses val="autoZero"/>
        <c:crossBetween val="between"/>
      </c:valAx>
      <c:spPr>
        <a:noFill/>
        <a:ln>
          <a:noFill/>
        </a:ln>
      </c:spPr>
    </c:plotArea>
    <c:legend>
      <c:legendPos val="t"/>
      <c:layout>
        <c:manualLayout>
          <c:xMode val="edge"/>
          <c:yMode val="edge"/>
          <c:x val="0"/>
          <c:y val="0.10499655846336224"/>
          <c:w val="0.9994859596044503"/>
          <c:h val="0.10436576247899006"/>
        </c:manualLayout>
      </c:layout>
      <c:overlay val="0"/>
      <c:txPr>
        <a:bodyPr/>
        <a:lstStyle/>
        <a:p>
          <a:pPr>
            <a:defRPr lang="de-DE" sz="1100"/>
          </a:pPr>
          <a:endParaRPr lang="en-US"/>
        </a:p>
      </c:txPr>
    </c:legend>
    <c:plotVisOnly val="1"/>
    <c:dispBlanksAs val="gap"/>
    <c:showDLblsOverMax val="0"/>
  </c:chart>
  <c:spPr>
    <a:solidFill>
      <a:schemeClr val="bg1"/>
    </a:solidFill>
    <a:ln cmpd="sng">
      <a:solidFill>
        <a:schemeClr val="bg1">
          <a:lumMod val="50000"/>
        </a:schemeClr>
      </a:solidFill>
    </a:ln>
  </c:spPr>
  <c:txPr>
    <a:bodyPr/>
    <a:lstStyle/>
    <a:p>
      <a:pPr>
        <a:defRPr sz="1050"/>
      </a:pPr>
      <a:endParaRPr lang="en-US"/>
    </a:p>
  </c:txPr>
  <c:printSettings>
    <c:headerFooter/>
    <c:pageMargins b="0.78740157499999996" l="0.70000000000000062" r="0.70000000000000062" t="0.78740157499999996"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lgn="ctr">
              <a:defRPr lang="de-DE" sz="1400"/>
            </a:pPr>
            <a:r>
              <a:rPr lang="en-US" sz="1400"/>
              <a:t>Diameter growth </a:t>
            </a:r>
          </a:p>
        </c:rich>
      </c:tx>
      <c:layout>
        <c:manualLayout>
          <c:xMode val="edge"/>
          <c:yMode val="edge"/>
          <c:x val="0.41253600829041992"/>
          <c:y val="2.3964880847112537E-2"/>
        </c:manualLayout>
      </c:layout>
      <c:overlay val="1"/>
    </c:title>
    <c:autoTitleDeleted val="0"/>
    <c:plotArea>
      <c:layout>
        <c:manualLayout>
          <c:layoutTarget val="inner"/>
          <c:xMode val="edge"/>
          <c:yMode val="edge"/>
          <c:x val="7.9597848368513829E-2"/>
          <c:y val="0.21087664924581337"/>
          <c:w val="0.88317686535982531"/>
          <c:h val="0.68463369180463129"/>
        </c:manualLayout>
      </c:layout>
      <c:lineChart>
        <c:grouping val="standard"/>
        <c:varyColors val="0"/>
        <c:ser>
          <c:idx val="0"/>
          <c:order val="0"/>
          <c:tx>
            <c:strRef>
              <c:f>'Growth Model'!$M$15</c:f>
              <c:strCache>
                <c:ptCount val="1"/>
                <c:pt idx="0">
                  <c:v>Actual diameter data (cm)</c:v>
                </c:pt>
              </c:strCache>
            </c:strRef>
          </c:tx>
          <c:spPr>
            <a:ln>
              <a:noFill/>
            </a:ln>
          </c:spPr>
          <c:marker>
            <c:symbol val="circle"/>
            <c:size val="6"/>
            <c:spPr>
              <a:solidFill>
                <a:srgbClr val="FF0000"/>
              </a:solidFill>
              <a:ln>
                <a:solidFill>
                  <a:srgbClr val="FF0000"/>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[0]!Actual_diameter</c:f>
              <c:numCache>
                <c:formatCode>0.0</c:formatCode>
                <c:ptCount val="15"/>
                <c:pt idx="0">
                  <c:v>20</c:v>
                </c:pt>
                <c:pt idx="1">
                  <c:v>#N/A</c:v>
                </c:pt>
                <c:pt idx="2">
                  <c:v>#N/A</c:v>
                </c:pt>
                <c:pt idx="3">
                  <c:v>#N/A</c:v>
                </c:pt>
                <c:pt idx="4">
                  <c:v>22</c:v>
                </c:pt>
                <c:pt idx="5">
                  <c:v>#N/A</c:v>
                </c:pt>
                <c:pt idx="6">
                  <c:v>#N/A</c:v>
                </c:pt>
                <c:pt idx="7">
                  <c:v>21</c:v>
                </c:pt>
                <c:pt idx="8">
                  <c:v>#N/A</c:v>
                </c:pt>
                <c:pt idx="9">
                  <c:v>12.427684326232722</c:v>
                </c:pt>
                <c:pt idx="10">
                  <c:v>#N/A</c:v>
                </c:pt>
                <c:pt idx="11">
                  <c:v>#N/A</c:v>
                </c:pt>
                <c:pt idx="12">
                  <c:v>#N/A</c:v>
                </c:pt>
                <c:pt idx="13">
                  <c:v>#N/A</c:v>
                </c:pt>
                <c:pt idx="14">
                  <c:v>12.5</c:v>
                </c:pt>
              </c:numCache>
            </c:numRef>
          </c:val>
          <c:smooth val="0"/>
          <c:extLst>
            <c:ext xmlns:c16="http://schemas.microsoft.com/office/drawing/2014/chart" uri="{C3380CC4-5D6E-409C-BE32-E72D297353CC}">
              <c16:uniqueId val="{00000000-C061-4515-9257-E16D141D0CF7}"/>
            </c:ext>
          </c:extLst>
        </c:ser>
        <c:ser>
          <c:idx val="1"/>
          <c:order val="1"/>
          <c:tx>
            <c:strRef>
              <c:f>'Growth Model'!$Q$15</c:f>
              <c:strCache>
                <c:ptCount val="1"/>
                <c:pt idx="0">
                  <c:v>Diameter model 1 (n=2) (cm)</c:v>
                </c:pt>
              </c:strCache>
            </c:strRef>
          </c:tx>
          <c:spPr>
            <a:ln>
              <a:solidFill>
                <a:srgbClr val="92D050"/>
              </a:solidFill>
            </a:ln>
          </c:spPr>
          <c:marker>
            <c:symbol val="square"/>
            <c:size val="4"/>
            <c:spPr>
              <a:solidFill>
                <a:srgbClr val="92D050"/>
              </a:solidFill>
              <a:ln>
                <a:solidFill>
                  <a:srgbClr val="92D050"/>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[0]!D_model1</c:f>
              <c:numCache>
                <c:formatCode>0.0</c:formatCode>
                <c:ptCount val="15"/>
                <c:pt idx="0">
                  <c:v>21.038304778284431</c:v>
                </c:pt>
                <c:pt idx="1">
                  <c:v>20.938286210768869</c:v>
                </c:pt>
                <c:pt idx="2">
                  <c:v>20.748246810333434</c:v>
                </c:pt>
                <c:pt idx="3">
                  <c:v>20.468186576978127</c:v>
                </c:pt>
                <c:pt idx="4">
                  <c:v>20.09810551070295</c:v>
                </c:pt>
                <c:pt idx="5">
                  <c:v>19.638003611507898</c:v>
                </c:pt>
                <c:pt idx="6">
                  <c:v>19.087880879392976</c:v>
                </c:pt>
                <c:pt idx="7">
                  <c:v>18.447737314358182</c:v>
                </c:pt>
                <c:pt idx="8">
                  <c:v>17.717572916403512</c:v>
                </c:pt>
                <c:pt idx="9">
                  <c:v>16.897387685528976</c:v>
                </c:pt>
                <c:pt idx="10">
                  <c:v>15.98718162173456</c:v>
                </c:pt>
                <c:pt idx="11">
                  <c:v>14.986954725020279</c:v>
                </c:pt>
                <c:pt idx="12">
                  <c:v>13.896706995386122</c:v>
                </c:pt>
                <c:pt idx="13">
                  <c:v>12.716438432832092</c:v>
                </c:pt>
                <c:pt idx="14">
                  <c:v>11.446149037358191</c:v>
                </c:pt>
              </c:numCache>
            </c:numRef>
          </c:val>
          <c:smooth val="0"/>
          <c:extLst>
            <c:ext xmlns:c16="http://schemas.microsoft.com/office/drawing/2014/chart" uri="{C3380CC4-5D6E-409C-BE32-E72D297353CC}">
              <c16:uniqueId val="{00000001-C061-4515-9257-E16D141D0CF7}"/>
            </c:ext>
          </c:extLst>
        </c:ser>
        <c:ser>
          <c:idx val="2"/>
          <c:order val="2"/>
          <c:tx>
            <c:strRef>
              <c:f>'Growth Model'!$U$15</c:f>
              <c:strCache>
                <c:ptCount val="1"/>
                <c:pt idx="0">
                  <c:v>Diameter model 2 (n=3) (cm)</c:v>
                </c:pt>
              </c:strCache>
            </c:strRef>
          </c:tx>
          <c:spPr>
            <a:ln>
              <a:solidFill>
                <a:schemeClr val="accent1"/>
              </a:solidFill>
            </a:ln>
          </c:spPr>
          <c:marker>
            <c:symbol val="triangle"/>
            <c:size val="4"/>
            <c:spPr>
              <a:solidFill>
                <a:schemeClr val="accent1"/>
              </a:solidFill>
              <a:ln>
                <a:solidFill>
                  <a:schemeClr val="accent1"/>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[0]!D_model2</c:f>
              <c:numCache>
                <c:formatCode>0.0</c:formatCode>
                <c:ptCount val="15"/>
                <c:pt idx="0">
                  <c:v>19.775594825589454</c:v>
                </c:pt>
                <c:pt idx="1">
                  <c:v>22.332124358301648</c:v>
                </c:pt>
                <c:pt idx="2">
                  <c:v>23.647219652984955</c:v>
                </c:pt>
                <c:pt idx="3">
                  <c:v>23.912479433956669</c:v>
                </c:pt>
                <c:pt idx="4">
                  <c:v>23.319502425534068</c:v>
                </c:pt>
                <c:pt idx="5">
                  <c:v>22.059887352034451</c:v>
                </c:pt>
                <c:pt idx="6">
                  <c:v>20.325232937775091</c:v>
                </c:pt>
                <c:pt idx="7">
                  <c:v>18.307137907073297</c:v>
                </c:pt>
                <c:pt idx="8">
                  <c:v>16.197200984246344</c:v>
                </c:pt>
                <c:pt idx="9">
                  <c:v>14.187020893611511</c:v>
                </c:pt>
                <c:pt idx="10">
                  <c:v>12.468196359486107</c:v>
                </c:pt>
                <c:pt idx="11">
                  <c:v>11.232326106187401</c:v>
                </c:pt>
                <c:pt idx="12">
                  <c:v>10.671008858032693</c:v>
                </c:pt>
                <c:pt idx="13">
                  <c:v>10.975843339339249</c:v>
                </c:pt>
                <c:pt idx="14">
                  <c:v>12.338428274424402</c:v>
                </c:pt>
              </c:numCache>
            </c:numRef>
          </c:val>
          <c:smooth val="0"/>
          <c:extLst>
            <c:ext xmlns:c16="http://schemas.microsoft.com/office/drawing/2014/chart" uri="{C3380CC4-5D6E-409C-BE32-E72D297353CC}">
              <c16:uniqueId val="{00000002-C061-4515-9257-E16D141D0CF7}"/>
            </c:ext>
          </c:extLst>
        </c:ser>
        <c:dLbls>
          <c:showLegendKey val="0"/>
          <c:showVal val="0"/>
          <c:showCatName val="0"/>
          <c:showSerName val="0"/>
          <c:showPercent val="0"/>
          <c:showBubbleSize val="0"/>
        </c:dLbls>
        <c:marker val="1"/>
        <c:smooth val="0"/>
        <c:axId val="186339176"/>
        <c:axId val="186335648"/>
      </c:lineChart>
      <c:catAx>
        <c:axId val="186339176"/>
        <c:scaling>
          <c:orientation val="minMax"/>
        </c:scaling>
        <c:delete val="0"/>
        <c:axPos val="b"/>
        <c:title>
          <c:tx>
            <c:rich>
              <a:bodyPr/>
              <a:lstStyle/>
              <a:p>
                <a:pPr>
                  <a:defRPr lang="de-DE" sz="1050"/>
                </a:pPr>
                <a:r>
                  <a:rPr lang="en-US" sz="1050"/>
                  <a:t>Years</a:t>
                </a:r>
              </a:p>
            </c:rich>
          </c:tx>
          <c:overlay val="0"/>
        </c:title>
        <c:numFmt formatCode="0" sourceLinked="0"/>
        <c:majorTickMark val="out"/>
        <c:minorTickMark val="none"/>
        <c:tickLblPos val="nextTo"/>
        <c:txPr>
          <a:bodyPr/>
          <a:lstStyle/>
          <a:p>
            <a:pPr>
              <a:defRPr lang="de-DE" sz="900"/>
            </a:pPr>
            <a:endParaRPr lang="en-US"/>
          </a:p>
        </c:txPr>
        <c:crossAx val="186335648"/>
        <c:crosses val="autoZero"/>
        <c:auto val="1"/>
        <c:lblAlgn val="ctr"/>
        <c:lblOffset val="100"/>
        <c:noMultiLvlLbl val="0"/>
      </c:catAx>
      <c:valAx>
        <c:axId val="186335648"/>
        <c:scaling>
          <c:orientation val="minMax"/>
        </c:scaling>
        <c:delete val="0"/>
        <c:axPos val="l"/>
        <c:majorGridlines/>
        <c:title>
          <c:tx>
            <c:rich>
              <a:bodyPr rot="0" vert="horz"/>
              <a:lstStyle/>
              <a:p>
                <a:pPr marL="0" marR="0" indent="0" algn="ctr" defTabSz="914400" rtl="0" eaLnBrk="1" fontAlgn="auto" latinLnBrk="0" hangingPunct="1">
                  <a:lnSpc>
                    <a:spcPct val="100000"/>
                  </a:lnSpc>
                  <a:spcBef>
                    <a:spcPts val="0"/>
                  </a:spcBef>
                  <a:spcAft>
                    <a:spcPts val="0"/>
                  </a:spcAft>
                  <a:buClrTx/>
                  <a:buSzTx/>
                  <a:buFontTx/>
                  <a:buNone/>
                  <a:tabLst/>
                  <a:defRPr lang="de-DE" sz="600" b="1" i="0" u="none" strike="noStrike" kern="1200" baseline="0">
                    <a:solidFill>
                      <a:sysClr val="windowText" lastClr="000000"/>
                    </a:solidFill>
                    <a:latin typeface="+mn-lt"/>
                    <a:ea typeface="+mn-ea"/>
                    <a:cs typeface="+mn-cs"/>
                  </a:defRPr>
                </a:pPr>
                <a:r>
                  <a:rPr lang="en-US" sz="1100" b="1" i="0" baseline="0">
                    <a:effectLst/>
                  </a:rPr>
                  <a:t>(cm)</a:t>
                </a:r>
                <a:endParaRPr lang="en-US" sz="600">
                  <a:effectLst/>
                </a:endParaRPr>
              </a:p>
            </c:rich>
          </c:tx>
          <c:layout>
            <c:manualLayout>
              <c:xMode val="edge"/>
              <c:yMode val="edge"/>
              <c:x val="2.9610395666305189E-2"/>
              <c:y val="0.13949759360569791"/>
            </c:manualLayout>
          </c:layout>
          <c:overlay val="0"/>
        </c:title>
        <c:numFmt formatCode="0.0" sourceLinked="1"/>
        <c:majorTickMark val="out"/>
        <c:minorTickMark val="none"/>
        <c:tickLblPos val="nextTo"/>
        <c:txPr>
          <a:bodyPr/>
          <a:lstStyle/>
          <a:p>
            <a:pPr>
              <a:defRPr lang="de-DE"/>
            </a:pPr>
            <a:endParaRPr lang="en-US"/>
          </a:p>
        </c:txPr>
        <c:crossAx val="186339176"/>
        <c:crosses val="autoZero"/>
        <c:crossBetween val="between"/>
      </c:valAx>
    </c:plotArea>
    <c:legend>
      <c:legendPos val="t"/>
      <c:layout>
        <c:manualLayout>
          <c:xMode val="edge"/>
          <c:yMode val="edge"/>
          <c:x val="0"/>
          <c:y val="0.10659456158889161"/>
          <c:w val="0.99851039953171505"/>
          <c:h val="0.10276292525898612"/>
        </c:manualLayout>
      </c:layout>
      <c:overlay val="0"/>
      <c:txPr>
        <a:bodyPr/>
        <a:lstStyle/>
        <a:p>
          <a:pPr>
            <a:defRPr lang="de-DE" sz="1100"/>
          </a:pPr>
          <a:endParaRPr lang="en-US"/>
        </a:p>
      </c:txPr>
    </c:legend>
    <c:plotVisOnly val="1"/>
    <c:dispBlanksAs val="gap"/>
    <c:showDLblsOverMax val="0"/>
  </c:chart>
  <c:printSettings>
    <c:headerFooter/>
    <c:pageMargins b="0.78740157499999996" l="0.70000000000000062" r="0.70000000000000062" t="0.7874015749999999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de-DE" sz="1400"/>
            </a:pPr>
            <a:r>
              <a:rPr lang="en-US" sz="1400"/>
              <a:t>Basal area growth </a:t>
            </a:r>
          </a:p>
        </c:rich>
      </c:tx>
      <c:layout>
        <c:manualLayout>
          <c:xMode val="edge"/>
          <c:yMode val="edge"/>
          <c:x val="0.40266358577842032"/>
          <c:y val="2.196795070012891E-2"/>
        </c:manualLayout>
      </c:layout>
      <c:overlay val="0"/>
    </c:title>
    <c:autoTitleDeleted val="0"/>
    <c:plotArea>
      <c:layout>
        <c:manualLayout>
          <c:layoutTarget val="inner"/>
          <c:xMode val="edge"/>
          <c:yMode val="edge"/>
          <c:x val="7.7159807170427891E-2"/>
          <c:y val="0.20920483545974991"/>
          <c:w val="0.88699602965458479"/>
          <c:h val="0.68355951036526708"/>
        </c:manualLayout>
      </c:layout>
      <c:lineChart>
        <c:grouping val="standard"/>
        <c:varyColors val="0"/>
        <c:ser>
          <c:idx val="0"/>
          <c:order val="0"/>
          <c:tx>
            <c:strRef>
              <c:f>'Growth Model'!$N$15</c:f>
              <c:strCache>
                <c:ptCount val="1"/>
                <c:pt idx="0">
                  <c:v>Actual basal area data (m²/ha)</c:v>
                </c:pt>
              </c:strCache>
            </c:strRef>
          </c:tx>
          <c:spPr>
            <a:ln>
              <a:noFill/>
            </a:ln>
          </c:spPr>
          <c:marker>
            <c:symbol val="circle"/>
            <c:size val="6"/>
            <c:spPr>
              <a:solidFill>
                <a:srgbClr val="FF0000"/>
              </a:solidFill>
              <a:ln>
                <a:solidFill>
                  <a:srgbClr val="FF0000"/>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'Growth Model'!Actual_V</c:f>
              <c:numCache>
                <c:formatCode>0.0</c:formatCode>
                <c:ptCount val="15"/>
                <c:pt idx="0">
                  <c:v>23.561944901923447</c:v>
                </c:pt>
                <c:pt idx="1">
                  <c:v>#N/A</c:v>
                </c:pt>
                <c:pt idx="2">
                  <c:v>#N/A</c:v>
                </c:pt>
                <c:pt idx="3">
                  <c:v>#N/A</c:v>
                </c:pt>
                <c:pt idx="4">
                  <c:v>27.559621553616459</c:v>
                </c:pt>
                <c:pt idx="5">
                  <c:v>#N/A</c:v>
                </c:pt>
                <c:pt idx="6">
                  <c:v>#N/A</c:v>
                </c:pt>
                <c:pt idx="7">
                  <c:v>38.378454300803845</c:v>
                </c:pt>
                <c:pt idx="8">
                  <c:v>#N/A</c:v>
                </c:pt>
                <c:pt idx="9">
                  <c:v>13.911351699829279</c:v>
                </c:pt>
                <c:pt idx="10">
                  <c:v>#N/A</c:v>
                </c:pt>
                <c:pt idx="11">
                  <c:v>#N/A</c:v>
                </c:pt>
                <c:pt idx="12">
                  <c:v>#N/A</c:v>
                </c:pt>
                <c:pt idx="13">
                  <c:v>#N/A</c:v>
                </c:pt>
                <c:pt idx="14">
                  <c:v>18.407769454627694</c:v>
                </c:pt>
              </c:numCache>
            </c:numRef>
          </c:val>
          <c:smooth val="0"/>
          <c:extLst>
            <c:ext xmlns:c16="http://schemas.microsoft.com/office/drawing/2014/chart" uri="{C3380CC4-5D6E-409C-BE32-E72D297353CC}">
              <c16:uniqueId val="{00000000-A42C-4332-8818-D00E3E83F97D}"/>
            </c:ext>
          </c:extLst>
        </c:ser>
        <c:ser>
          <c:idx val="1"/>
          <c:order val="1"/>
          <c:tx>
            <c:strRef>
              <c:f>'Growth Model'!$R$15</c:f>
              <c:strCache>
                <c:ptCount val="1"/>
                <c:pt idx="0">
                  <c:v>Basal area model 1 (n=2) (m²/ha)</c:v>
                </c:pt>
              </c:strCache>
            </c:strRef>
          </c:tx>
          <c:spPr>
            <a:ln>
              <a:solidFill>
                <a:srgbClr val="92D050"/>
              </a:solidFill>
            </a:ln>
          </c:spPr>
          <c:marker>
            <c:symbol val="square"/>
            <c:size val="4"/>
            <c:spPr>
              <a:solidFill>
                <a:srgbClr val="92D050"/>
              </a:solidFill>
              <a:ln>
                <a:solidFill>
                  <a:srgbClr val="92D050"/>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'Growth Model'!V_model1</c:f>
              <c:numCache>
                <c:formatCode>0.0</c:formatCode>
                <c:ptCount val="15"/>
                <c:pt idx="0">
                  <c:v>24.654371555863754</c:v>
                </c:pt>
                <c:pt idx="1">
                  <c:v>25.885108394812569</c:v>
                </c:pt>
                <c:pt idx="2">
                  <c:v>26.83469089354854</c:v>
                </c:pt>
                <c:pt idx="3">
                  <c:v>27.503119052071671</c:v>
                </c:pt>
                <c:pt idx="4">
                  <c:v>27.890392870381959</c:v>
                </c:pt>
                <c:pt idx="5">
                  <c:v>27.996512348479406</c:v>
                </c:pt>
                <c:pt idx="6">
                  <c:v>27.821477486364007</c:v>
                </c:pt>
                <c:pt idx="7">
                  <c:v>27.365288284035767</c:v>
                </c:pt>
                <c:pt idx="8">
                  <c:v>26.627944741494687</c:v>
                </c:pt>
                <c:pt idx="9">
                  <c:v>25.60944685874076</c:v>
                </c:pt>
                <c:pt idx="10">
                  <c:v>24.309794635773994</c:v>
                </c:pt>
                <c:pt idx="11">
                  <c:v>22.728988072594387</c:v>
                </c:pt>
                <c:pt idx="12">
                  <c:v>20.867027169201933</c:v>
                </c:pt>
                <c:pt idx="13">
                  <c:v>18.723911925596639</c:v>
                </c:pt>
                <c:pt idx="14">
                  <c:v>16.299642341778501</c:v>
                </c:pt>
              </c:numCache>
            </c:numRef>
          </c:val>
          <c:smooth val="0"/>
          <c:extLst>
            <c:ext xmlns:c16="http://schemas.microsoft.com/office/drawing/2014/chart" uri="{C3380CC4-5D6E-409C-BE32-E72D297353CC}">
              <c16:uniqueId val="{00000001-A42C-4332-8818-D00E3E83F97D}"/>
            </c:ext>
          </c:extLst>
        </c:ser>
        <c:ser>
          <c:idx val="2"/>
          <c:order val="2"/>
          <c:tx>
            <c:strRef>
              <c:f>'Growth Model'!$V$15</c:f>
              <c:strCache>
                <c:ptCount val="1"/>
                <c:pt idx="0">
                  <c:v>Basal area model 2 (n=3) (m²/ha)</c:v>
                </c:pt>
              </c:strCache>
            </c:strRef>
          </c:tx>
          <c:spPr>
            <a:ln>
              <a:solidFill>
                <a:schemeClr val="accent1"/>
              </a:solidFill>
            </a:ln>
          </c:spPr>
          <c:marker>
            <c:symbol val="triangle"/>
            <c:size val="4"/>
            <c:spPr>
              <a:solidFill>
                <a:schemeClr val="accent1"/>
              </a:solidFill>
              <a:ln>
                <a:solidFill>
                  <a:schemeClr val="accent1"/>
                </a:solidFill>
              </a:ln>
            </c:spPr>
          </c:marker>
          <c:cat>
            <c:numRef>
              <c:f>'Growth Model'!Age</c:f>
              <c:numCache>
                <c:formatCode>0</c:formatCod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numCache>
            </c:numRef>
          </c:cat>
          <c:val>
            <c:numRef>
              <c:f>'Growth Model'!V_model2</c:f>
              <c:numCache>
                <c:formatCode>0.0</c:formatCode>
                <c:ptCount val="15"/>
                <c:pt idx="0">
                  <c:v>22.625353922446127</c:v>
                </c:pt>
                <c:pt idx="1">
                  <c:v>28.124832706352294</c:v>
                </c:pt>
                <c:pt idx="2">
                  <c:v>31.492979207491658</c:v>
                </c:pt>
                <c:pt idx="3">
                  <c:v>33.037668713732486</c:v>
                </c:pt>
                <c:pt idx="4">
                  <c:v>33.066776512943065</c:v>
                </c:pt>
                <c:pt idx="5">
                  <c:v>31.888177892991649</c:v>
                </c:pt>
                <c:pt idx="6">
                  <c:v>29.809748141746518</c:v>
                </c:pt>
                <c:pt idx="7">
                  <c:v>27.13936254707594</c:v>
                </c:pt>
                <c:pt idx="8">
                  <c:v>24.184896396848188</c:v>
                </c:pt>
                <c:pt idx="9">
                  <c:v>21.254224978931518</c:v>
                </c:pt>
                <c:pt idx="10">
                  <c:v>18.655223581194221</c:v>
                </c:pt>
                <c:pt idx="11">
                  <c:v>16.695767491504554</c:v>
                </c:pt>
                <c:pt idx="12">
                  <c:v>15.683731997730789</c:v>
                </c:pt>
                <c:pt idx="13">
                  <c:v>15.926992387741194</c:v>
                </c:pt>
                <c:pt idx="14">
                  <c:v>17.733423949404084</c:v>
                </c:pt>
              </c:numCache>
            </c:numRef>
          </c:val>
          <c:smooth val="0"/>
          <c:extLst>
            <c:ext xmlns:c16="http://schemas.microsoft.com/office/drawing/2014/chart" uri="{C3380CC4-5D6E-409C-BE32-E72D297353CC}">
              <c16:uniqueId val="{00000002-A42C-4332-8818-D00E3E83F97D}"/>
            </c:ext>
          </c:extLst>
        </c:ser>
        <c:dLbls>
          <c:showLegendKey val="0"/>
          <c:showVal val="0"/>
          <c:showCatName val="0"/>
          <c:showSerName val="0"/>
          <c:showPercent val="0"/>
          <c:showBubbleSize val="0"/>
        </c:dLbls>
        <c:marker val="1"/>
        <c:smooth val="0"/>
        <c:axId val="186336432"/>
        <c:axId val="186339568"/>
      </c:lineChart>
      <c:catAx>
        <c:axId val="186336432"/>
        <c:scaling>
          <c:orientation val="minMax"/>
        </c:scaling>
        <c:delete val="0"/>
        <c:axPos val="b"/>
        <c:title>
          <c:tx>
            <c:rich>
              <a:bodyPr/>
              <a:lstStyle/>
              <a:p>
                <a:pPr>
                  <a:defRPr lang="de-DE" sz="1100"/>
                </a:pPr>
                <a:r>
                  <a:rPr lang="en-US" sz="1100"/>
                  <a:t>Years</a:t>
                </a:r>
              </a:p>
            </c:rich>
          </c:tx>
          <c:overlay val="0"/>
        </c:title>
        <c:numFmt formatCode="0" sourceLinked="0"/>
        <c:majorTickMark val="out"/>
        <c:minorTickMark val="none"/>
        <c:tickLblPos val="nextTo"/>
        <c:txPr>
          <a:bodyPr/>
          <a:lstStyle/>
          <a:p>
            <a:pPr>
              <a:defRPr lang="de-DE" sz="900"/>
            </a:pPr>
            <a:endParaRPr lang="en-US"/>
          </a:p>
        </c:txPr>
        <c:crossAx val="186339568"/>
        <c:crosses val="autoZero"/>
        <c:auto val="1"/>
        <c:lblAlgn val="ctr"/>
        <c:lblOffset val="100"/>
        <c:noMultiLvlLbl val="0"/>
      </c:catAx>
      <c:valAx>
        <c:axId val="186339568"/>
        <c:scaling>
          <c:orientation val="minMax"/>
        </c:scaling>
        <c:delete val="0"/>
        <c:axPos val="l"/>
        <c:majorGridlines/>
        <c:title>
          <c:tx>
            <c:rich>
              <a:bodyPr rot="0" vert="horz"/>
              <a:lstStyle/>
              <a:p>
                <a:pPr>
                  <a:defRPr lang="de-DE" sz="1050"/>
                </a:pPr>
                <a:r>
                  <a:rPr lang="en-US" sz="1050" b="1" i="0" u="none" strike="noStrike" baseline="0">
                    <a:effectLst/>
                  </a:rPr>
                  <a:t>(m²/ha) </a:t>
                </a:r>
                <a:endParaRPr lang="en-US" sz="1050"/>
              </a:p>
            </c:rich>
          </c:tx>
          <c:layout>
            <c:manualLayout>
              <c:xMode val="edge"/>
              <c:yMode val="edge"/>
              <c:x val="1.7142860648913644E-2"/>
              <c:y val="0.14187358162196798"/>
            </c:manualLayout>
          </c:layout>
          <c:overlay val="0"/>
        </c:title>
        <c:numFmt formatCode="0.0" sourceLinked="1"/>
        <c:majorTickMark val="out"/>
        <c:minorTickMark val="none"/>
        <c:tickLblPos val="nextTo"/>
        <c:txPr>
          <a:bodyPr/>
          <a:lstStyle/>
          <a:p>
            <a:pPr>
              <a:defRPr lang="de-DE"/>
            </a:pPr>
            <a:endParaRPr lang="en-US"/>
          </a:p>
        </c:txPr>
        <c:crossAx val="186336432"/>
        <c:crosses val="autoZero"/>
        <c:crossBetween val="between"/>
      </c:valAx>
    </c:plotArea>
    <c:legend>
      <c:legendPos val="t"/>
      <c:layout>
        <c:manualLayout>
          <c:xMode val="edge"/>
          <c:yMode val="edge"/>
          <c:x val="0"/>
          <c:y val="0.10434781856625751"/>
          <c:w val="0.9984362815085962"/>
          <c:h val="0.10732149355329022"/>
        </c:manualLayout>
      </c:layout>
      <c:overlay val="0"/>
      <c:txPr>
        <a:bodyPr/>
        <a:lstStyle/>
        <a:p>
          <a:pPr>
            <a:defRPr lang="de-DE" sz="1100"/>
          </a:pPr>
          <a:endParaRPr lang="en-US"/>
        </a:p>
      </c:txPr>
    </c:legend>
    <c:plotVisOnly val="1"/>
    <c:dispBlanksAs val="gap"/>
    <c:showDLblsOverMax val="0"/>
  </c:chart>
  <c:printSettings>
    <c:headerFooter/>
    <c:pageMargins b="0.78740157499999996" l="0.70000000000000062" r="0.70000000000000062" t="0.78740157499999996"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de-DE" sz="1400"/>
            </a:pPr>
            <a:r>
              <a:rPr lang="en-US" sz="1400"/>
              <a:t>Standing</a:t>
            </a:r>
            <a:r>
              <a:rPr lang="en-US" sz="1400" baseline="0"/>
              <a:t> volume growth </a:t>
            </a:r>
            <a:endParaRPr lang="en-US" sz="1400"/>
          </a:p>
        </c:rich>
      </c:tx>
      <c:overlay val="0"/>
    </c:title>
    <c:autoTitleDeleted val="0"/>
    <c:plotArea>
      <c:layout>
        <c:manualLayout>
          <c:layoutTarget val="inner"/>
          <c:xMode val="edge"/>
          <c:yMode val="edge"/>
          <c:x val="7.7254554774461706E-2"/>
          <c:y val="0.21064245567559794"/>
          <c:w val="0.89158239351376656"/>
          <c:h val="0.68278385712360146"/>
        </c:manualLayout>
      </c:layout>
      <c:lineChart>
        <c:grouping val="standard"/>
        <c:varyColors val="0"/>
        <c:ser>
          <c:idx val="0"/>
          <c:order val="0"/>
          <c:tx>
            <c:strRef>
              <c:f>'Growth Model'!$O$15</c:f>
              <c:strCache>
                <c:ptCount val="1"/>
                <c:pt idx="0">
                  <c:v>Actual volume data (m³/ha)</c:v>
                </c:pt>
              </c:strCache>
            </c:strRef>
          </c:tx>
          <c:spPr>
            <a:ln>
              <a:noFill/>
            </a:ln>
          </c:spPr>
          <c:marker>
            <c:symbol val="circle"/>
            <c:size val="6"/>
            <c:spPr>
              <a:solidFill>
                <a:srgbClr val="FF0000"/>
              </a:solidFill>
              <a:ln>
                <a:solidFill>
                  <a:srgbClr val="FF0000"/>
                </a:solidFill>
              </a:ln>
            </c:spPr>
          </c:marker>
          <c:cat>
            <c:strRef>
              <c:f>'Growth Model'!$J$16:$J$95</c:f>
              <c:strCach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strCache>
            </c:strRef>
          </c:cat>
          <c:val>
            <c:numRef>
              <c:f>'Growth Model'!Actual_V</c:f>
              <c:numCache>
                <c:formatCode>0.0</c:formatCode>
                <c:ptCount val="15"/>
                <c:pt idx="0">
                  <c:v>23.561944901923447</c:v>
                </c:pt>
                <c:pt idx="1">
                  <c:v>#N/A</c:v>
                </c:pt>
                <c:pt idx="2">
                  <c:v>#N/A</c:v>
                </c:pt>
                <c:pt idx="3">
                  <c:v>#N/A</c:v>
                </c:pt>
                <c:pt idx="4">
                  <c:v>27.559621553616459</c:v>
                </c:pt>
                <c:pt idx="5">
                  <c:v>#N/A</c:v>
                </c:pt>
                <c:pt idx="6">
                  <c:v>#N/A</c:v>
                </c:pt>
                <c:pt idx="7">
                  <c:v>38.378454300803845</c:v>
                </c:pt>
                <c:pt idx="8">
                  <c:v>#N/A</c:v>
                </c:pt>
                <c:pt idx="9">
                  <c:v>13.911351699829279</c:v>
                </c:pt>
                <c:pt idx="10">
                  <c:v>#N/A</c:v>
                </c:pt>
                <c:pt idx="11">
                  <c:v>#N/A</c:v>
                </c:pt>
                <c:pt idx="12">
                  <c:v>#N/A</c:v>
                </c:pt>
                <c:pt idx="13">
                  <c:v>#N/A</c:v>
                </c:pt>
                <c:pt idx="14">
                  <c:v>18.407769454627694</c:v>
                </c:pt>
              </c:numCache>
            </c:numRef>
          </c:val>
          <c:smooth val="0"/>
          <c:extLst>
            <c:ext xmlns:c16="http://schemas.microsoft.com/office/drawing/2014/chart" uri="{C3380CC4-5D6E-409C-BE32-E72D297353CC}">
              <c16:uniqueId val="{00000000-1DB8-46E8-BBC6-BF63D32EEAB2}"/>
            </c:ext>
          </c:extLst>
        </c:ser>
        <c:ser>
          <c:idx val="1"/>
          <c:order val="1"/>
          <c:tx>
            <c:strRef>
              <c:f>'Growth Model'!$S$15</c:f>
              <c:strCache>
                <c:ptCount val="1"/>
                <c:pt idx="0">
                  <c:v>Volume model 1 (n=2) (m³/ha)</c:v>
                </c:pt>
              </c:strCache>
            </c:strRef>
          </c:tx>
          <c:spPr>
            <a:ln>
              <a:solidFill>
                <a:srgbClr val="92D050"/>
              </a:solidFill>
            </a:ln>
          </c:spPr>
          <c:marker>
            <c:symbol val="square"/>
            <c:size val="4"/>
            <c:spPr>
              <a:solidFill>
                <a:srgbClr val="92D050"/>
              </a:solidFill>
              <a:ln>
                <a:solidFill>
                  <a:srgbClr val="92D050"/>
                </a:solidFill>
              </a:ln>
            </c:spPr>
          </c:marker>
          <c:cat>
            <c:strRef>
              <c:f>'Growth Model'!$J$16:$J$95</c:f>
              <c:strCach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strCache>
            </c:strRef>
          </c:cat>
          <c:val>
            <c:numRef>
              <c:f>'Growth Model'!V_model1</c:f>
              <c:numCache>
                <c:formatCode>0.0</c:formatCode>
                <c:ptCount val="15"/>
                <c:pt idx="0">
                  <c:v>24.654371555863754</c:v>
                </c:pt>
                <c:pt idx="1">
                  <c:v>25.885108394812569</c:v>
                </c:pt>
                <c:pt idx="2">
                  <c:v>26.83469089354854</c:v>
                </c:pt>
                <c:pt idx="3">
                  <c:v>27.503119052071671</c:v>
                </c:pt>
                <c:pt idx="4">
                  <c:v>27.890392870381959</c:v>
                </c:pt>
                <c:pt idx="5">
                  <c:v>27.996512348479406</c:v>
                </c:pt>
                <c:pt idx="6">
                  <c:v>27.821477486364007</c:v>
                </c:pt>
                <c:pt idx="7">
                  <c:v>27.365288284035767</c:v>
                </c:pt>
                <c:pt idx="8">
                  <c:v>26.627944741494687</c:v>
                </c:pt>
                <c:pt idx="9">
                  <c:v>25.60944685874076</c:v>
                </c:pt>
                <c:pt idx="10">
                  <c:v>24.309794635773994</c:v>
                </c:pt>
                <c:pt idx="11">
                  <c:v>22.728988072594387</c:v>
                </c:pt>
                <c:pt idx="12">
                  <c:v>20.867027169201933</c:v>
                </c:pt>
                <c:pt idx="13">
                  <c:v>18.723911925596639</c:v>
                </c:pt>
                <c:pt idx="14">
                  <c:v>16.299642341778501</c:v>
                </c:pt>
              </c:numCache>
            </c:numRef>
          </c:val>
          <c:smooth val="0"/>
          <c:extLst>
            <c:ext xmlns:c16="http://schemas.microsoft.com/office/drawing/2014/chart" uri="{C3380CC4-5D6E-409C-BE32-E72D297353CC}">
              <c16:uniqueId val="{00000001-1DB8-46E8-BBC6-BF63D32EEAB2}"/>
            </c:ext>
          </c:extLst>
        </c:ser>
        <c:ser>
          <c:idx val="2"/>
          <c:order val="2"/>
          <c:tx>
            <c:strRef>
              <c:f>'Growth Model'!$W$15</c:f>
              <c:strCache>
                <c:ptCount val="1"/>
                <c:pt idx="0">
                  <c:v>Volume model 2 (n=3) (m³/ha)</c:v>
                </c:pt>
              </c:strCache>
            </c:strRef>
          </c:tx>
          <c:spPr>
            <a:ln>
              <a:solidFill>
                <a:schemeClr val="accent1"/>
              </a:solidFill>
            </a:ln>
          </c:spPr>
          <c:marker>
            <c:symbol val="triangle"/>
            <c:size val="4"/>
            <c:spPr>
              <a:solidFill>
                <a:schemeClr val="accent1"/>
              </a:solidFill>
              <a:ln>
                <a:solidFill>
                  <a:schemeClr val="accent1"/>
                </a:solidFill>
              </a:ln>
            </c:spPr>
          </c:marker>
          <c:cat>
            <c:strRef>
              <c:f>'Growth Model'!$J$16:$J$95</c:f>
              <c:strCache>
                <c:ptCount val="15"/>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strCache>
            </c:strRef>
          </c:cat>
          <c:val>
            <c:numRef>
              <c:f>'Growth Model'!V_model2</c:f>
              <c:numCache>
                <c:formatCode>0.0</c:formatCode>
                <c:ptCount val="15"/>
                <c:pt idx="0">
                  <c:v>22.625353922446127</c:v>
                </c:pt>
                <c:pt idx="1">
                  <c:v>28.124832706352294</c:v>
                </c:pt>
                <c:pt idx="2">
                  <c:v>31.492979207491658</c:v>
                </c:pt>
                <c:pt idx="3">
                  <c:v>33.037668713732486</c:v>
                </c:pt>
                <c:pt idx="4">
                  <c:v>33.066776512943065</c:v>
                </c:pt>
                <c:pt idx="5">
                  <c:v>31.888177892991649</c:v>
                </c:pt>
                <c:pt idx="6">
                  <c:v>29.809748141746518</c:v>
                </c:pt>
                <c:pt idx="7">
                  <c:v>27.13936254707594</c:v>
                </c:pt>
                <c:pt idx="8">
                  <c:v>24.184896396848188</c:v>
                </c:pt>
                <c:pt idx="9">
                  <c:v>21.254224978931518</c:v>
                </c:pt>
                <c:pt idx="10">
                  <c:v>18.655223581194221</c:v>
                </c:pt>
                <c:pt idx="11">
                  <c:v>16.695767491504554</c:v>
                </c:pt>
                <c:pt idx="12">
                  <c:v>15.683731997730789</c:v>
                </c:pt>
                <c:pt idx="13">
                  <c:v>15.926992387741194</c:v>
                </c:pt>
                <c:pt idx="14">
                  <c:v>17.733423949404084</c:v>
                </c:pt>
              </c:numCache>
            </c:numRef>
          </c:val>
          <c:smooth val="0"/>
          <c:extLst>
            <c:ext xmlns:c16="http://schemas.microsoft.com/office/drawing/2014/chart" uri="{C3380CC4-5D6E-409C-BE32-E72D297353CC}">
              <c16:uniqueId val="{00000002-1DB8-46E8-BBC6-BF63D32EEAB2}"/>
            </c:ext>
          </c:extLst>
        </c:ser>
        <c:dLbls>
          <c:showLegendKey val="0"/>
          <c:showVal val="0"/>
          <c:showCatName val="0"/>
          <c:showSerName val="0"/>
          <c:showPercent val="0"/>
          <c:showBubbleSize val="0"/>
        </c:dLbls>
        <c:marker val="1"/>
        <c:smooth val="0"/>
        <c:axId val="186337608"/>
        <c:axId val="595363432"/>
      </c:lineChart>
      <c:catAx>
        <c:axId val="186337608"/>
        <c:scaling>
          <c:orientation val="minMax"/>
        </c:scaling>
        <c:delete val="0"/>
        <c:axPos val="b"/>
        <c:title>
          <c:tx>
            <c:rich>
              <a:bodyPr/>
              <a:lstStyle/>
              <a:p>
                <a:pPr>
                  <a:defRPr lang="de-DE" sz="1050"/>
                </a:pPr>
                <a:r>
                  <a:rPr lang="en-US" sz="1050"/>
                  <a:t>Years</a:t>
                </a:r>
              </a:p>
            </c:rich>
          </c:tx>
          <c:overlay val="0"/>
        </c:title>
        <c:numFmt formatCode="0" sourceLinked="0"/>
        <c:majorTickMark val="out"/>
        <c:minorTickMark val="none"/>
        <c:tickLblPos val="nextTo"/>
        <c:txPr>
          <a:bodyPr/>
          <a:lstStyle/>
          <a:p>
            <a:pPr>
              <a:defRPr lang="de-DE" sz="900"/>
            </a:pPr>
            <a:endParaRPr lang="en-US"/>
          </a:p>
        </c:txPr>
        <c:crossAx val="595363432"/>
        <c:crosses val="autoZero"/>
        <c:auto val="1"/>
        <c:lblAlgn val="ctr"/>
        <c:lblOffset val="100"/>
        <c:noMultiLvlLbl val="0"/>
      </c:catAx>
      <c:valAx>
        <c:axId val="595363432"/>
        <c:scaling>
          <c:orientation val="minMax"/>
        </c:scaling>
        <c:delete val="0"/>
        <c:axPos val="l"/>
        <c:majorGridlines/>
        <c:title>
          <c:tx>
            <c:rich>
              <a:bodyPr rot="0" vert="horz"/>
              <a:lstStyle/>
              <a:p>
                <a:pPr>
                  <a:defRPr lang="de-DE" sz="1100"/>
                </a:pPr>
                <a:r>
                  <a:rPr lang="en-US" sz="1100" b="1" i="0" u="none" strike="noStrike" baseline="0">
                    <a:effectLst/>
                  </a:rPr>
                  <a:t>(m³/ha) </a:t>
                </a:r>
                <a:endParaRPr lang="en-US" sz="1100"/>
              </a:p>
            </c:rich>
          </c:tx>
          <c:layout>
            <c:manualLayout>
              <c:xMode val="edge"/>
              <c:yMode val="edge"/>
              <c:x val="1.558152585588631E-2"/>
              <c:y val="0.14482005929117051"/>
            </c:manualLayout>
          </c:layout>
          <c:overlay val="0"/>
        </c:title>
        <c:numFmt formatCode="0.0" sourceLinked="1"/>
        <c:majorTickMark val="out"/>
        <c:minorTickMark val="none"/>
        <c:tickLblPos val="nextTo"/>
        <c:txPr>
          <a:bodyPr/>
          <a:lstStyle/>
          <a:p>
            <a:pPr>
              <a:defRPr lang="de-DE"/>
            </a:pPr>
            <a:endParaRPr lang="en-US"/>
          </a:p>
        </c:txPr>
        <c:crossAx val="186337608"/>
        <c:crosses val="autoZero"/>
        <c:crossBetween val="between"/>
      </c:valAx>
    </c:plotArea>
    <c:legend>
      <c:legendPos val="t"/>
      <c:layout>
        <c:manualLayout>
          <c:xMode val="edge"/>
          <c:yMode val="edge"/>
          <c:x val="0"/>
          <c:y val="0.10394929221057736"/>
          <c:w val="0.9991800682102765"/>
          <c:h val="0.10665899669162485"/>
        </c:manualLayout>
      </c:layout>
      <c:overlay val="0"/>
      <c:txPr>
        <a:bodyPr/>
        <a:lstStyle/>
        <a:p>
          <a:pPr>
            <a:defRPr lang="de-DE" sz="1100"/>
          </a:pPr>
          <a:endParaRPr lang="en-US"/>
        </a:p>
      </c:txPr>
    </c:legend>
    <c:plotVisOnly val="1"/>
    <c:dispBlanksAs val="gap"/>
    <c:showDLblsOverMax val="0"/>
  </c:chart>
  <c:printSettings>
    <c:headerFooter/>
    <c:pageMargins b="0.78740157499999996" l="0.70000000000000062" r="0.70000000000000062" t="0.78740157499999996"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nl-NL"/>
  <c:roundedCorners val="0"/>
  <mc:AlternateContent xmlns:mc="http://schemas.openxmlformats.org/markup-compatibility/2006">
    <mc:Choice xmlns:c14="http://schemas.microsoft.com/office/drawing/2007/8/2/chart" Requires="c14">
      <c14:style val="129"/>
    </mc:Choice>
    <mc:Fallback>
      <c:style val="29"/>
    </mc:Fallback>
  </mc:AlternateContent>
  <c:chart>
    <c:title>
      <c:tx>
        <c:rich>
          <a:bodyPr rot="0" vert="horz"/>
          <a:lstStyle/>
          <a:p>
            <a:pPr>
              <a:defRPr lang="en-US">
                <a:solidFill>
                  <a:schemeClr val="bg1"/>
                </a:solidFill>
              </a:defRPr>
            </a:pPr>
            <a:r>
              <a:rPr lang="en-US">
                <a:solidFill>
                  <a:schemeClr val="bg1"/>
                </a:solidFill>
              </a:rPr>
              <a:t>Simulation of carbon stocks</a:t>
            </a:r>
          </a:p>
        </c:rich>
      </c:tx>
      <c:overlay val="0"/>
    </c:title>
    <c:autoTitleDeleted val="0"/>
    <c:plotArea>
      <c:layout/>
      <c:areaChart>
        <c:grouping val="standard"/>
        <c:varyColors val="0"/>
        <c:ser>
          <c:idx val="0"/>
          <c:order val="0"/>
          <c:tx>
            <c:strRef>
              <c:f>Results_Simulation!$J$28</c:f>
              <c:strCache>
                <c:ptCount val="1"/>
                <c:pt idx="0">
                  <c:v>Total carbon stocks  (tCO2e)</c:v>
                </c:pt>
              </c:strCache>
            </c:strRef>
          </c:tx>
          <c:spPr>
            <a:ln w="25400">
              <a:noFill/>
            </a:ln>
          </c:spPr>
          <c:cat>
            <c:numRef>
              <c:f>Results_Simulation!Year_results</c:f>
              <c:numCache>
                <c:formatCode>General</c:formatCode>
                <c:ptCount val="9"/>
                <c:pt idx="0">
                  <c:v>2020</c:v>
                </c:pt>
                <c:pt idx="1">
                  <c:v>2025</c:v>
                </c:pt>
                <c:pt idx="2">
                  <c:v>2030</c:v>
                </c:pt>
                <c:pt idx="3">
                  <c:v>2035</c:v>
                </c:pt>
                <c:pt idx="4">
                  <c:v>2040</c:v>
                </c:pt>
                <c:pt idx="5">
                  <c:v>2045</c:v>
                </c:pt>
                <c:pt idx="6">
                  <c:v>2050</c:v>
                </c:pt>
                <c:pt idx="7">
                  <c:v>2055</c:v>
                </c:pt>
                <c:pt idx="8">
                  <c:v>2060</c:v>
                </c:pt>
              </c:numCache>
            </c:numRef>
          </c:cat>
          <c:val>
            <c:numRef>
              <c:f>Results_Simulation!total_carbon_results</c:f>
              <c:numCache>
                <c:formatCode>0.0</c:formatCode>
                <c:ptCount val="9"/>
                <c:pt idx="0">
                  <c:v>61741.879638839942</c:v>
                </c:pt>
                <c:pt idx="1">
                  <c:v>23265.596091169711</c:v>
                </c:pt>
                <c:pt idx="2">
                  <c:v>35915.618500450742</c:v>
                </c:pt>
                <c:pt idx="3">
                  <c:v>48465.162781780884</c:v>
                </c:pt>
                <c:pt idx="4">
                  <c:v>23265.596091169711</c:v>
                </c:pt>
                <c:pt idx="5">
                  <c:v>35915.618500450742</c:v>
                </c:pt>
                <c:pt idx="6">
                  <c:v>48465.162781780884</c:v>
                </c:pt>
                <c:pt idx="7">
                  <c:v>23265.596091169711</c:v>
                </c:pt>
                <c:pt idx="8">
                  <c:v>35915.618500450742</c:v>
                </c:pt>
              </c:numCache>
            </c:numRef>
          </c:val>
          <c:extLst>
            <c:ext xmlns:c16="http://schemas.microsoft.com/office/drawing/2014/chart" uri="{C3380CC4-5D6E-409C-BE32-E72D297353CC}">
              <c16:uniqueId val="{00000000-FAE6-4E8D-8360-C19C5BCEAE50}"/>
            </c:ext>
          </c:extLst>
        </c:ser>
        <c:dLbls>
          <c:showLegendKey val="0"/>
          <c:showVal val="0"/>
          <c:showCatName val="0"/>
          <c:showSerName val="0"/>
          <c:showPercent val="0"/>
          <c:showBubbleSize val="0"/>
        </c:dLbls>
        <c:axId val="595367744"/>
        <c:axId val="595365000"/>
      </c:areaChart>
      <c:catAx>
        <c:axId val="595367744"/>
        <c:scaling>
          <c:orientation val="minMax"/>
        </c:scaling>
        <c:delete val="0"/>
        <c:axPos val="b"/>
        <c:numFmt formatCode="General" sourceLinked="1"/>
        <c:majorTickMark val="none"/>
        <c:minorTickMark val="none"/>
        <c:tickLblPos val="nextTo"/>
        <c:txPr>
          <a:bodyPr rot="-60000000" vert="horz"/>
          <a:lstStyle/>
          <a:p>
            <a:pPr>
              <a:defRPr lang="en-US">
                <a:solidFill>
                  <a:schemeClr val="bg1"/>
                </a:solidFill>
              </a:defRPr>
            </a:pPr>
            <a:endParaRPr lang="en-US"/>
          </a:p>
        </c:txPr>
        <c:crossAx val="595365000"/>
        <c:crosses val="autoZero"/>
        <c:auto val="1"/>
        <c:lblAlgn val="ctr"/>
        <c:lblOffset val="100"/>
        <c:noMultiLvlLbl val="0"/>
      </c:catAx>
      <c:valAx>
        <c:axId val="595365000"/>
        <c:scaling>
          <c:orientation val="minMax"/>
        </c:scaling>
        <c:delete val="0"/>
        <c:axPos val="l"/>
        <c:majorGridlines/>
        <c:minorGridlines>
          <c:spPr>
            <a:ln>
              <a:noFill/>
            </a:ln>
          </c:spPr>
        </c:minorGridlines>
        <c:title>
          <c:tx>
            <c:rich>
              <a:bodyPr rot="-5400000" vert="horz"/>
              <a:lstStyle/>
              <a:p>
                <a:pPr>
                  <a:defRPr lang="en-US">
                    <a:solidFill>
                      <a:schemeClr val="bg1"/>
                    </a:solidFill>
                  </a:defRPr>
                </a:pPr>
                <a:r>
                  <a:rPr lang="en-US">
                    <a:solidFill>
                      <a:schemeClr val="bg1"/>
                    </a:solidFill>
                  </a:rPr>
                  <a:t>tCO2e</a:t>
                </a:r>
              </a:p>
            </c:rich>
          </c:tx>
          <c:overlay val="0"/>
        </c:title>
        <c:numFmt formatCode="0.0" sourceLinked="1"/>
        <c:majorTickMark val="none"/>
        <c:minorTickMark val="none"/>
        <c:tickLblPos val="nextTo"/>
        <c:txPr>
          <a:bodyPr rot="-60000000" vert="horz"/>
          <a:lstStyle/>
          <a:p>
            <a:pPr>
              <a:defRPr lang="en-US">
                <a:solidFill>
                  <a:schemeClr val="bg1"/>
                </a:solidFill>
              </a:defRPr>
            </a:pPr>
            <a:endParaRPr lang="en-US"/>
          </a:p>
        </c:txPr>
        <c:crossAx val="595367744"/>
        <c:crosses val="autoZero"/>
        <c:crossBetween val="midCat"/>
      </c:valAx>
      <c:spPr>
        <a:solidFill>
          <a:schemeClr val="accent1"/>
        </a:solidFill>
      </c:spPr>
    </c:plotArea>
    <c:plotVisOnly val="1"/>
    <c:dispBlanksAs val="zero"/>
    <c:showDLblsOverMax val="0"/>
  </c:chart>
  <c:spPr>
    <a:solidFill>
      <a:schemeClr val="accent1"/>
    </a:solidFill>
  </c:spPr>
  <c:printSettings>
    <c:headerFooter/>
    <c:pageMargins b="0.75000000000000622" l="0.70000000000000062" r="0.70000000000000062" t="0.75000000000000622" header="0.30000000000000032" footer="0.30000000000000032"/>
    <c:pageSetup/>
  </c:printSettings>
</c:chartSpace>
</file>

<file path=xl/ctrlProps/ctrlProp1.xml><?xml version="1.0" encoding="utf-8"?>
<formControlPr xmlns="http://schemas.microsoft.com/office/spreadsheetml/2009/9/main" objectType="Drop" dropLines="4" dropStyle="combo" dx="16" fmlaLink="$BI$36" fmlaRange="chart_types" noThreeD="1" sel="4" val="0"/>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image" Target="../media/image2.png"/><Relationship Id="rId3" Type="http://schemas.openxmlformats.org/officeDocument/2006/relationships/hyperlink" Target="#Default_Values!A1"/><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Introduction!A2"/><Relationship Id="rId1" Type="http://schemas.openxmlformats.org/officeDocument/2006/relationships/image" Target="../media/image1.png"/><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s>
</file>

<file path=xl/drawings/_rels/drawing2.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image" Target="../media/image2.png"/><Relationship Id="rId3" Type="http://schemas.openxmlformats.org/officeDocument/2006/relationships/image" Target="../media/image1.png"/><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Default_Values!A1"/><Relationship Id="rId1" Type="http://schemas.openxmlformats.org/officeDocument/2006/relationships/hyperlink" Target="#Introduction!A2"/><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s>
</file>

<file path=xl/drawings/_rels/drawing3.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image" Target="../media/image2.png"/><Relationship Id="rId3" Type="http://schemas.openxmlformats.org/officeDocument/2006/relationships/image" Target="../media/image1.png"/><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Default_Values!A1"/><Relationship Id="rId1" Type="http://schemas.openxmlformats.org/officeDocument/2006/relationships/hyperlink" Target="#Introduction!A2"/><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s>
</file>

<file path=xl/drawings/_rels/drawing4.xml.rels><?xml version="1.0" encoding="UTF-8" standalone="yes"?>
<Relationships xmlns="http://schemas.openxmlformats.org/package/2006/relationships"><Relationship Id="rId8" Type="http://schemas.openxmlformats.org/officeDocument/2006/relationships/image" Target="../media/image2.png"/><Relationship Id="rId3" Type="http://schemas.openxmlformats.org/officeDocument/2006/relationships/hyperlink" Target="#Introduction!A2"/><Relationship Id="rId7" Type="http://schemas.openxmlformats.org/officeDocument/2006/relationships/hyperlink" Target="#Models!A2"/><Relationship Id="rId2" Type="http://schemas.openxmlformats.org/officeDocument/2006/relationships/hyperlink" Target="#'General Data'!L10"/><Relationship Id="rId1" Type="http://schemas.openxmlformats.org/officeDocument/2006/relationships/hyperlink" Target="#Species!A3"/><Relationship Id="rId6" Type="http://schemas.openxmlformats.org/officeDocument/2006/relationships/hyperlink" Target="#Inventory_data!A2"/><Relationship Id="rId5" Type="http://schemas.openxmlformats.org/officeDocument/2006/relationships/image" Target="../media/image1.png"/><Relationship Id="rId4" Type="http://schemas.openxmlformats.org/officeDocument/2006/relationships/hyperlink" Target="#Default_Values!A1"/></Relationships>
</file>

<file path=xl/drawings/_rels/drawing5.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hyperlink" Target="#Default_Values!W1"/><Relationship Id="rId3" Type="http://schemas.openxmlformats.org/officeDocument/2006/relationships/image" Target="../media/image1.png"/><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Default_Values!A1"/><Relationship Id="rId1" Type="http://schemas.openxmlformats.org/officeDocument/2006/relationships/hyperlink" Target="#Introduction!A2"/><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 Id="rId14" Type="http://schemas.openxmlformats.org/officeDocument/2006/relationships/image" Target="../media/image2.png"/></Relationships>
</file>

<file path=xl/drawings/_rels/drawing6.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image" Target="../media/image2.png"/><Relationship Id="rId3" Type="http://schemas.openxmlformats.org/officeDocument/2006/relationships/image" Target="../media/image1.png"/><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Default_Values!A1"/><Relationship Id="rId1" Type="http://schemas.openxmlformats.org/officeDocument/2006/relationships/hyperlink" Target="#Introduction!A2"/><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s>
</file>

<file path=xl/drawings/_rels/drawing7.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image" Target="../media/image2.png"/><Relationship Id="rId3" Type="http://schemas.openxmlformats.org/officeDocument/2006/relationships/image" Target="../media/image1.png"/><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Default_Values!A1"/><Relationship Id="rId1" Type="http://schemas.openxmlformats.org/officeDocument/2006/relationships/hyperlink" Target="#Introduction!A2"/><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s>
</file>

<file path=xl/drawings/_rels/drawing8.xml.rels><?xml version="1.0" encoding="UTF-8" standalone="yes"?>
<Relationships xmlns="http://schemas.openxmlformats.org/package/2006/relationships"><Relationship Id="rId8" Type="http://schemas.openxmlformats.org/officeDocument/2006/relationships/hyperlink" Target="#Management!A4"/><Relationship Id="rId13" Type="http://schemas.openxmlformats.org/officeDocument/2006/relationships/image" Target="../media/image2.png"/><Relationship Id="rId3" Type="http://schemas.openxmlformats.org/officeDocument/2006/relationships/image" Target="../media/image1.png"/><Relationship Id="rId7" Type="http://schemas.openxmlformats.org/officeDocument/2006/relationships/hyperlink" Target="#Strata!A4"/><Relationship Id="rId12" Type="http://schemas.openxmlformats.org/officeDocument/2006/relationships/hyperlink" Target="#'General Data'!A4"/><Relationship Id="rId2" Type="http://schemas.openxmlformats.org/officeDocument/2006/relationships/hyperlink" Target="#Default_Values!A1"/><Relationship Id="rId1" Type="http://schemas.openxmlformats.org/officeDocument/2006/relationships/hyperlink" Target="#Introduction!A2"/><Relationship Id="rId6" Type="http://schemas.openxmlformats.org/officeDocument/2006/relationships/hyperlink" Target="#Species!A4"/><Relationship Id="rId11" Type="http://schemas.openxmlformats.org/officeDocument/2006/relationships/hyperlink" Target="#Accuracy!A4"/><Relationship Id="rId5" Type="http://schemas.openxmlformats.org/officeDocument/2006/relationships/hyperlink" Target="#Models!A2"/><Relationship Id="rId10" Type="http://schemas.openxmlformats.org/officeDocument/2006/relationships/hyperlink" Target="#Introduction!A4"/><Relationship Id="rId4" Type="http://schemas.openxmlformats.org/officeDocument/2006/relationships/hyperlink" Target="#Inventory_data!A2"/><Relationship Id="rId9" Type="http://schemas.openxmlformats.org/officeDocument/2006/relationships/hyperlink" Target="#HWP!A4"/></Relationships>
</file>

<file path=xl/drawings/_rels/drawing9.xml.rels><?xml version="1.0" encoding="UTF-8" standalone="yes"?>
<Relationships xmlns="http://schemas.openxmlformats.org/package/2006/relationships"><Relationship Id="rId8" Type="http://schemas.openxmlformats.org/officeDocument/2006/relationships/hyperlink" Target="#Introduction!A4"/><Relationship Id="rId3" Type="http://schemas.openxmlformats.org/officeDocument/2006/relationships/hyperlink" Target="#Results!A4"/><Relationship Id="rId7" Type="http://schemas.openxmlformats.org/officeDocument/2006/relationships/hyperlink" Target="#Models!A2"/><Relationship Id="rId2" Type="http://schemas.openxmlformats.org/officeDocument/2006/relationships/hyperlink" Target="#Inventory_data!A4"/><Relationship Id="rId1" Type="http://schemas.openxmlformats.org/officeDocument/2006/relationships/hyperlink" Target="#Default_Values!A1"/><Relationship Id="rId6" Type="http://schemas.openxmlformats.org/officeDocument/2006/relationships/hyperlink" Target="#Inventory_data!A2"/><Relationship Id="rId5" Type="http://schemas.openxmlformats.org/officeDocument/2006/relationships/hyperlink" Target="#Accuracy!A2"/><Relationship Id="rId4" Type="http://schemas.openxmlformats.org/officeDocument/2006/relationships/image" Target="../media/image1.png"/><Relationship Id="rId9" Type="http://schemas.openxmlformats.org/officeDocument/2006/relationships/image" Target="../media/image2.png"/></Relationships>
</file>

<file path=xl/drawings/_rels/drawing10.xml.rels><?xml version="1.0" encoding="UTF-8" standalone="yes"?>
<Relationships xmlns="http://schemas.openxmlformats.org/package/2006/relationships"><Relationship Id="rId8" Type="http://schemas.openxmlformats.org/officeDocument/2006/relationships/hyperlink" Target="#Inventory_data!A2"/><Relationship Id="rId3" Type="http://schemas.openxmlformats.org/officeDocument/2006/relationships/hyperlink" Target="#Default_Values!A1"/><Relationship Id="rId7" Type="http://schemas.openxmlformats.org/officeDocument/2006/relationships/hyperlink" Target="#Accuracy!A2"/><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png"/><Relationship Id="rId11" Type="http://schemas.openxmlformats.org/officeDocument/2006/relationships/image" Target="../media/image2.png"/><Relationship Id="rId5" Type="http://schemas.openxmlformats.org/officeDocument/2006/relationships/hyperlink" Target="#Results!A4"/><Relationship Id="rId10" Type="http://schemas.openxmlformats.org/officeDocument/2006/relationships/hyperlink" Target="#Introduction!A4"/><Relationship Id="rId4" Type="http://schemas.openxmlformats.org/officeDocument/2006/relationships/hyperlink" Target="#Inventory_data!A4"/><Relationship Id="rId9" Type="http://schemas.openxmlformats.org/officeDocument/2006/relationships/hyperlink" Target="#Models!A2"/></Relationships>
</file>

<file path=xl/drawings/_rels/drawing11.xml.rels><?xml version="1.0" encoding="UTF-8" standalone="yes"?>
<Relationships xmlns="http://schemas.openxmlformats.org/package/2006/relationships"><Relationship Id="rId8" Type="http://schemas.openxmlformats.org/officeDocument/2006/relationships/hyperlink" Target="#Simulation_assumptions!A4"/><Relationship Id="rId13" Type="http://schemas.openxmlformats.org/officeDocument/2006/relationships/image" Target="../media/image2.png"/><Relationship Id="rId3" Type="http://schemas.openxmlformats.org/officeDocument/2006/relationships/hyperlink" Target="#'Growth Model'!A4"/><Relationship Id="rId7" Type="http://schemas.openxmlformats.org/officeDocument/2006/relationships/hyperlink" Target="#Models!A2"/><Relationship Id="rId12" Type="http://schemas.openxmlformats.org/officeDocument/2006/relationships/hyperlink" Target="#Introduction!A4"/><Relationship Id="rId2" Type="http://schemas.openxmlformats.org/officeDocument/2006/relationships/hyperlink" Target="#Models!A4"/><Relationship Id="rId1" Type="http://schemas.openxmlformats.org/officeDocument/2006/relationships/hyperlink" Target="#Default_Values!A1"/><Relationship Id="rId6" Type="http://schemas.openxmlformats.org/officeDocument/2006/relationships/hyperlink" Target="#Inventory_data!A2"/><Relationship Id="rId11" Type="http://schemas.openxmlformats.org/officeDocument/2006/relationships/hyperlink" Target="#All_Models!A4"/><Relationship Id="rId5" Type="http://schemas.openxmlformats.org/officeDocument/2006/relationships/hyperlink" Target="#Accuracy!A2"/><Relationship Id="rId10" Type="http://schemas.openxmlformats.org/officeDocument/2006/relationships/hyperlink" Target="#Results_Simulation!A4"/><Relationship Id="rId4" Type="http://schemas.openxmlformats.org/officeDocument/2006/relationships/image" Target="../media/image1.png"/><Relationship Id="rId9" Type="http://schemas.openxmlformats.org/officeDocument/2006/relationships/hyperlink" Target="#Inventory_Simulation!A4"/></Relationships>
</file>

<file path=xl/drawings/_rels/drawing12.xml.rels><?xml version="1.0" encoding="UTF-8" standalone="yes"?>
<Relationships xmlns="http://schemas.openxmlformats.org/package/2006/relationships"><Relationship Id="rId8" Type="http://schemas.openxmlformats.org/officeDocument/2006/relationships/hyperlink" Target="#'Growth Model'!AM1"/><Relationship Id="rId13" Type="http://schemas.openxmlformats.org/officeDocument/2006/relationships/image" Target="../media/image1.png"/><Relationship Id="rId18" Type="http://schemas.openxmlformats.org/officeDocument/2006/relationships/hyperlink" Target="#Inventory_Simulation!A4"/><Relationship Id="rId3" Type="http://schemas.openxmlformats.org/officeDocument/2006/relationships/chart" Target="../charts/chart5.xml"/><Relationship Id="rId21" Type="http://schemas.openxmlformats.org/officeDocument/2006/relationships/image" Target="../media/image3.emf"/><Relationship Id="rId7" Type="http://schemas.openxmlformats.org/officeDocument/2006/relationships/hyperlink" Target="#'Growth Model'!X13"/><Relationship Id="rId12" Type="http://schemas.openxmlformats.org/officeDocument/2006/relationships/hyperlink" Target="#Models!A4"/><Relationship Id="rId17" Type="http://schemas.openxmlformats.org/officeDocument/2006/relationships/hyperlink" Target="#Simulation_assumptions!A4"/><Relationship Id="rId2" Type="http://schemas.openxmlformats.org/officeDocument/2006/relationships/chart" Target="../charts/chart4.xml"/><Relationship Id="rId16" Type="http://schemas.openxmlformats.org/officeDocument/2006/relationships/hyperlink" Target="#Models!A2"/><Relationship Id="rId20" Type="http://schemas.openxmlformats.org/officeDocument/2006/relationships/hyperlink" Target="#All_Models!A4"/><Relationship Id="rId1" Type="http://schemas.openxmlformats.org/officeDocument/2006/relationships/chart" Target="../charts/chart3.xml"/><Relationship Id="rId6" Type="http://schemas.openxmlformats.org/officeDocument/2006/relationships/hyperlink" Target="#'Growth Model'!A5"/><Relationship Id="rId11" Type="http://schemas.openxmlformats.org/officeDocument/2006/relationships/hyperlink" Target="#Default_Values!A1"/><Relationship Id="rId5" Type="http://schemas.openxmlformats.org/officeDocument/2006/relationships/chart" Target="../charts/chart7.xml"/><Relationship Id="rId15" Type="http://schemas.openxmlformats.org/officeDocument/2006/relationships/hyperlink" Target="#Inventory_data!A2"/><Relationship Id="rId23" Type="http://schemas.openxmlformats.org/officeDocument/2006/relationships/image" Target="../media/image2.png"/><Relationship Id="rId10" Type="http://schemas.openxmlformats.org/officeDocument/2006/relationships/hyperlink" Target="#'Growth Model'!J1"/><Relationship Id="rId19" Type="http://schemas.openxmlformats.org/officeDocument/2006/relationships/hyperlink" Target="#Results_Simulation!A4"/><Relationship Id="rId4" Type="http://schemas.openxmlformats.org/officeDocument/2006/relationships/chart" Target="../charts/chart6.xml"/><Relationship Id="rId9" Type="http://schemas.openxmlformats.org/officeDocument/2006/relationships/hyperlink" Target="#'Growth Model'!J10"/><Relationship Id="rId14" Type="http://schemas.openxmlformats.org/officeDocument/2006/relationships/hyperlink" Target="#Accuracy!A2"/><Relationship Id="rId22" Type="http://schemas.openxmlformats.org/officeDocument/2006/relationships/hyperlink" Target="#Introduction!A4"/></Relationships>
</file>

<file path=xl/drawings/_rels/drawing13.xml.rels><?xml version="1.0" encoding="UTF-8" standalone="yes"?>
<Relationships xmlns="http://schemas.openxmlformats.org/package/2006/relationships"><Relationship Id="rId8" Type="http://schemas.openxmlformats.org/officeDocument/2006/relationships/hyperlink" Target="#Simulation_assumptions!A4"/><Relationship Id="rId13" Type="http://schemas.openxmlformats.org/officeDocument/2006/relationships/image" Target="../media/image2.png"/><Relationship Id="rId3" Type="http://schemas.openxmlformats.org/officeDocument/2006/relationships/hyperlink" Target="#'Growth Model'!A4"/><Relationship Id="rId7" Type="http://schemas.openxmlformats.org/officeDocument/2006/relationships/hyperlink" Target="#Models!A2"/><Relationship Id="rId12" Type="http://schemas.openxmlformats.org/officeDocument/2006/relationships/hyperlink" Target="#Introduction!A4"/><Relationship Id="rId2" Type="http://schemas.openxmlformats.org/officeDocument/2006/relationships/hyperlink" Target="#Models!A4"/><Relationship Id="rId1" Type="http://schemas.openxmlformats.org/officeDocument/2006/relationships/hyperlink" Target="#Default_Values!A1"/><Relationship Id="rId6" Type="http://schemas.openxmlformats.org/officeDocument/2006/relationships/hyperlink" Target="#Inventory_data!A2"/><Relationship Id="rId11" Type="http://schemas.openxmlformats.org/officeDocument/2006/relationships/hyperlink" Target="#All_Models!A4"/><Relationship Id="rId5" Type="http://schemas.openxmlformats.org/officeDocument/2006/relationships/hyperlink" Target="#Accuracy!A2"/><Relationship Id="rId10" Type="http://schemas.openxmlformats.org/officeDocument/2006/relationships/hyperlink" Target="#Results_Simulation!A4"/><Relationship Id="rId4" Type="http://schemas.openxmlformats.org/officeDocument/2006/relationships/image" Target="../media/image1.png"/><Relationship Id="rId9" Type="http://schemas.openxmlformats.org/officeDocument/2006/relationships/hyperlink" Target="#Inventory_Simulation!A4"/></Relationships>
</file>

<file path=xl/drawings/_rels/drawing14.xml.rels><?xml version="1.0" encoding="UTF-8" standalone="yes"?>
<Relationships xmlns="http://schemas.openxmlformats.org/package/2006/relationships"><Relationship Id="rId8" Type="http://schemas.openxmlformats.org/officeDocument/2006/relationships/hyperlink" Target="#Simulation_assumptions!A4"/><Relationship Id="rId13" Type="http://schemas.openxmlformats.org/officeDocument/2006/relationships/image" Target="../media/image2.png"/><Relationship Id="rId3" Type="http://schemas.openxmlformats.org/officeDocument/2006/relationships/hyperlink" Target="#'Growth Model'!A4"/><Relationship Id="rId7" Type="http://schemas.openxmlformats.org/officeDocument/2006/relationships/hyperlink" Target="#Models!A2"/><Relationship Id="rId12" Type="http://schemas.openxmlformats.org/officeDocument/2006/relationships/hyperlink" Target="#Introduction!A4"/><Relationship Id="rId2" Type="http://schemas.openxmlformats.org/officeDocument/2006/relationships/hyperlink" Target="#Models!A4"/><Relationship Id="rId1" Type="http://schemas.openxmlformats.org/officeDocument/2006/relationships/hyperlink" Target="#Default_Values!A1"/><Relationship Id="rId6" Type="http://schemas.openxmlformats.org/officeDocument/2006/relationships/hyperlink" Target="#Inventory_data!A2"/><Relationship Id="rId11" Type="http://schemas.openxmlformats.org/officeDocument/2006/relationships/hyperlink" Target="#All_Models!A4"/><Relationship Id="rId5" Type="http://schemas.openxmlformats.org/officeDocument/2006/relationships/hyperlink" Target="#Accuracy!A2"/><Relationship Id="rId10" Type="http://schemas.openxmlformats.org/officeDocument/2006/relationships/hyperlink" Target="#Results_Simulation!A4"/><Relationship Id="rId4" Type="http://schemas.openxmlformats.org/officeDocument/2006/relationships/image" Target="../media/image1.png"/><Relationship Id="rId9" Type="http://schemas.openxmlformats.org/officeDocument/2006/relationships/hyperlink" Target="#Inventory_Simulation!A4"/></Relationships>
</file>

<file path=xl/drawings/_rels/drawing15.xml.rels><?xml version="1.0" encoding="UTF-8" standalone="yes"?>
<Relationships xmlns="http://schemas.openxmlformats.org/package/2006/relationships"><Relationship Id="rId8" Type="http://schemas.openxmlformats.org/officeDocument/2006/relationships/hyperlink" Target="#Simulation_assumptions!A4"/><Relationship Id="rId13" Type="http://schemas.openxmlformats.org/officeDocument/2006/relationships/image" Target="../media/image2.png"/><Relationship Id="rId3" Type="http://schemas.openxmlformats.org/officeDocument/2006/relationships/hyperlink" Target="#'Growth Model'!A4"/><Relationship Id="rId7" Type="http://schemas.openxmlformats.org/officeDocument/2006/relationships/hyperlink" Target="#Models!A2"/><Relationship Id="rId12" Type="http://schemas.openxmlformats.org/officeDocument/2006/relationships/hyperlink" Target="#Introduction!A4"/><Relationship Id="rId2" Type="http://schemas.openxmlformats.org/officeDocument/2006/relationships/hyperlink" Target="#Models!A4"/><Relationship Id="rId1" Type="http://schemas.openxmlformats.org/officeDocument/2006/relationships/hyperlink" Target="#Default_Values!A1"/><Relationship Id="rId6" Type="http://schemas.openxmlformats.org/officeDocument/2006/relationships/hyperlink" Target="#Inventory_data!A2"/><Relationship Id="rId11" Type="http://schemas.openxmlformats.org/officeDocument/2006/relationships/hyperlink" Target="#All_Models!A4"/><Relationship Id="rId5" Type="http://schemas.openxmlformats.org/officeDocument/2006/relationships/hyperlink" Target="#Accuracy!A2"/><Relationship Id="rId10" Type="http://schemas.openxmlformats.org/officeDocument/2006/relationships/hyperlink" Target="#Results_Simulation!A4"/><Relationship Id="rId4" Type="http://schemas.openxmlformats.org/officeDocument/2006/relationships/image" Target="../media/image1.png"/><Relationship Id="rId9" Type="http://schemas.openxmlformats.org/officeDocument/2006/relationships/hyperlink" Target="#Inventory_Simulation!A4"/></Relationships>
</file>

<file path=xl/drawings/_rels/drawing16.xml.rels><?xml version="1.0" encoding="UTF-8" standalone="yes"?>
<Relationships xmlns="http://schemas.openxmlformats.org/package/2006/relationships"><Relationship Id="rId8" Type="http://schemas.openxmlformats.org/officeDocument/2006/relationships/hyperlink" Target="#Models!A2"/><Relationship Id="rId13" Type="http://schemas.openxmlformats.org/officeDocument/2006/relationships/hyperlink" Target="#Introduction!A4"/><Relationship Id="rId3" Type="http://schemas.openxmlformats.org/officeDocument/2006/relationships/hyperlink" Target="#Models!A4"/><Relationship Id="rId7" Type="http://schemas.openxmlformats.org/officeDocument/2006/relationships/hyperlink" Target="#Inventory_data!A2"/><Relationship Id="rId12" Type="http://schemas.openxmlformats.org/officeDocument/2006/relationships/hyperlink" Target="#All_Models!A4"/><Relationship Id="rId2" Type="http://schemas.openxmlformats.org/officeDocument/2006/relationships/hyperlink" Target="#Default_Values!A1"/><Relationship Id="rId1" Type="http://schemas.openxmlformats.org/officeDocument/2006/relationships/chart" Target="../charts/chart8.xml"/><Relationship Id="rId6" Type="http://schemas.openxmlformats.org/officeDocument/2006/relationships/hyperlink" Target="#Accuracy!A2"/><Relationship Id="rId11" Type="http://schemas.openxmlformats.org/officeDocument/2006/relationships/hyperlink" Target="#Results_Simulation!A4"/><Relationship Id="rId5" Type="http://schemas.openxmlformats.org/officeDocument/2006/relationships/image" Target="../media/image1.png"/><Relationship Id="rId10" Type="http://schemas.openxmlformats.org/officeDocument/2006/relationships/hyperlink" Target="#Inventory_Simulation!A4"/><Relationship Id="rId4" Type="http://schemas.openxmlformats.org/officeDocument/2006/relationships/hyperlink" Target="#'Growth Model'!A4"/><Relationship Id="rId9" Type="http://schemas.openxmlformats.org/officeDocument/2006/relationships/hyperlink" Target="#Simulation_assumptions!A4"/><Relationship Id="rId14"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5</xdr:col>
      <xdr:colOff>361951</xdr:colOff>
      <xdr:row>3</xdr:row>
      <xdr:rowOff>104774</xdr:rowOff>
    </xdr:from>
    <xdr:to>
      <xdr:col>6</xdr:col>
      <xdr:colOff>628651</xdr:colOff>
      <xdr:row>6</xdr:row>
      <xdr:rowOff>50923</xdr:rowOff>
    </xdr:to>
    <xdr:pic>
      <xdr:nvPicPr>
        <xdr:cNvPr id="18" name="Picture 1">
          <a:extLst>
            <a:ext uri="{FF2B5EF4-FFF2-40B4-BE49-F238E27FC236}">
              <a16:creationId xmlns:a16="http://schemas.microsoft.com/office/drawing/2014/main" id="{00000000-0008-0000-0000-00001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0020301" y="2143124"/>
          <a:ext cx="1028700" cy="746249"/>
        </a:xfrm>
        <a:prstGeom prst="rect">
          <a:avLst/>
        </a:prstGeom>
        <a:noFill/>
        <a:ln w="1">
          <a:noFill/>
          <a:miter lim="800000"/>
          <a:headEnd/>
          <a:tailEnd type="none" w="med" len="med"/>
        </a:ln>
        <a:effectLst/>
      </xdr:spPr>
    </xdr:pic>
    <xdr:clientData/>
  </xdr:twoCellAnchor>
  <xdr:twoCellAnchor>
    <xdr:from>
      <xdr:col>0</xdr:col>
      <xdr:colOff>123825</xdr:colOff>
      <xdr:row>0</xdr:row>
      <xdr:rowOff>28740</xdr:rowOff>
    </xdr:from>
    <xdr:to>
      <xdr:col>2</xdr:col>
      <xdr:colOff>6149429</xdr:colOff>
      <xdr:row>0</xdr:row>
      <xdr:rowOff>1438887</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123825" y="28740"/>
          <a:ext cx="7882979" cy="1410147"/>
          <a:chOff x="57150" y="28740"/>
          <a:chExt cx="7882979" cy="1410147"/>
        </a:xfrm>
      </xdr:grpSpPr>
      <xdr:sp macro="" textlink="">
        <xdr:nvSpPr>
          <xdr:cNvPr id="58" name="57 Proceso alternativo">
            <a:extLst>
              <a:ext uri="{FF2B5EF4-FFF2-40B4-BE49-F238E27FC236}">
                <a16:creationId xmlns:a16="http://schemas.microsoft.com/office/drawing/2014/main" id="{00000000-0008-0000-0000-00003A000000}"/>
              </a:ext>
            </a:extLst>
          </xdr:cNvPr>
          <xdr:cNvSpPr/>
        </xdr:nvSpPr>
        <xdr:spPr>
          <a:xfrm>
            <a:off x="57150" y="83937"/>
            <a:ext cx="2972628"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59" name="58 Rectángulo redondeado">
            <a:extLst>
              <a:ext uri="{FF2B5EF4-FFF2-40B4-BE49-F238E27FC236}">
                <a16:creationId xmlns:a16="http://schemas.microsoft.com/office/drawing/2014/main" id="{00000000-0008-0000-0000-00003B000000}"/>
              </a:ext>
            </a:extLst>
          </xdr:cNvPr>
          <xdr:cNvSpPr/>
        </xdr:nvSpPr>
        <xdr:spPr>
          <a:xfrm>
            <a:off x="114300" y="533993"/>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61" name="60 Rectángulo redondeado">
            <a:hlinkClick xmlns:r="http://schemas.openxmlformats.org/officeDocument/2006/relationships" r:id="rId2"/>
            <a:extLst>
              <a:ext uri="{FF2B5EF4-FFF2-40B4-BE49-F238E27FC236}">
                <a16:creationId xmlns:a16="http://schemas.microsoft.com/office/drawing/2014/main" id="{00000000-0008-0000-0000-00003D000000}"/>
              </a:ext>
            </a:extLst>
          </xdr:cNvPr>
          <xdr:cNvSpPr/>
        </xdr:nvSpPr>
        <xdr:spPr>
          <a:xfrm>
            <a:off x="198838" y="631044"/>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69" name="68 Rectángulo redondeado">
            <a:hlinkClick xmlns:r="http://schemas.openxmlformats.org/officeDocument/2006/relationships" r:id="rId3"/>
            <a:extLst>
              <a:ext uri="{FF2B5EF4-FFF2-40B4-BE49-F238E27FC236}">
                <a16:creationId xmlns:a16="http://schemas.microsoft.com/office/drawing/2014/main" id="{00000000-0008-0000-0000-000045000000}"/>
              </a:ext>
            </a:extLst>
          </xdr:cNvPr>
          <xdr:cNvSpPr/>
        </xdr:nvSpPr>
        <xdr:spPr>
          <a:xfrm>
            <a:off x="3110532" y="139844"/>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71" name="Picture 1">
            <a:extLst>
              <a:ext uri="{FF2B5EF4-FFF2-40B4-BE49-F238E27FC236}">
                <a16:creationId xmlns:a16="http://schemas.microsoft.com/office/drawing/2014/main" id="{00000000-0008-0000-0000-000047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025184" y="28740"/>
            <a:ext cx="857250" cy="504659"/>
          </a:xfrm>
          <a:prstGeom prst="rect">
            <a:avLst/>
          </a:prstGeom>
          <a:noFill/>
          <a:ln w="1">
            <a:noFill/>
            <a:miter lim="800000"/>
            <a:headEnd/>
            <a:tailEnd type="none" w="med" len="med"/>
          </a:ln>
          <a:effectLst/>
        </xdr:spPr>
      </xdr:pic>
      <xdr:sp macro="" textlink="">
        <xdr:nvSpPr>
          <xdr:cNvPr id="14" name="58 Rectángulo redondeado">
            <a:extLst>
              <a:ext uri="{FF2B5EF4-FFF2-40B4-BE49-F238E27FC236}">
                <a16:creationId xmlns:a16="http://schemas.microsoft.com/office/drawing/2014/main" id="{00000000-0008-0000-0000-00000E000000}"/>
              </a:ext>
            </a:extLst>
          </xdr:cNvPr>
          <xdr:cNvSpPr/>
        </xdr:nvSpPr>
        <xdr:spPr>
          <a:xfrm>
            <a:off x="3384950" y="543518"/>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15" name="58 Rectángulo redondeado">
            <a:extLst>
              <a:ext uri="{FF2B5EF4-FFF2-40B4-BE49-F238E27FC236}">
                <a16:creationId xmlns:a16="http://schemas.microsoft.com/office/drawing/2014/main" id="{00000000-0008-0000-0000-00000F000000}"/>
              </a:ext>
            </a:extLst>
          </xdr:cNvPr>
          <xdr:cNvSpPr/>
        </xdr:nvSpPr>
        <xdr:spPr>
          <a:xfrm>
            <a:off x="1744863" y="543518"/>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63" name="62 Rectángulo redondeado">
            <a:hlinkClick xmlns:r="http://schemas.openxmlformats.org/officeDocument/2006/relationships" r:id="rId4"/>
            <a:extLst>
              <a:ext uri="{FF2B5EF4-FFF2-40B4-BE49-F238E27FC236}">
                <a16:creationId xmlns:a16="http://schemas.microsoft.com/office/drawing/2014/main" id="{00000000-0008-0000-0000-00003F000000}"/>
              </a:ext>
            </a:extLst>
          </xdr:cNvPr>
          <xdr:cNvSpPr/>
        </xdr:nvSpPr>
        <xdr:spPr>
          <a:xfrm>
            <a:off x="1836090" y="631044"/>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67" name="66 Rectángulo redondeado">
            <a:hlinkClick xmlns:r="http://schemas.openxmlformats.org/officeDocument/2006/relationships" r:id="rId5"/>
            <a:extLst>
              <a:ext uri="{FF2B5EF4-FFF2-40B4-BE49-F238E27FC236}">
                <a16:creationId xmlns:a16="http://schemas.microsoft.com/office/drawing/2014/main" id="{00000000-0008-0000-0000-000043000000}"/>
              </a:ext>
            </a:extLst>
          </xdr:cNvPr>
          <xdr:cNvSpPr/>
        </xdr:nvSpPr>
        <xdr:spPr>
          <a:xfrm>
            <a:off x="3481820" y="62151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21" name="33 Rectángulo redondeado">
            <a:hlinkClick xmlns:r="http://schemas.openxmlformats.org/officeDocument/2006/relationships" r:id="rId6"/>
            <a:extLst>
              <a:ext uri="{FF2B5EF4-FFF2-40B4-BE49-F238E27FC236}">
                <a16:creationId xmlns:a16="http://schemas.microsoft.com/office/drawing/2014/main" id="{00000000-0008-0000-0000-000015000000}"/>
              </a:ext>
            </a:extLst>
          </xdr:cNvPr>
          <xdr:cNvSpPr>
            <a:spLocks/>
          </xdr:cNvSpPr>
        </xdr:nvSpPr>
        <xdr:spPr>
          <a:xfrm>
            <a:off x="2981143" y="1177362"/>
            <a:ext cx="112227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22" name="34 Rectángulo redondeado">
            <a:hlinkClick xmlns:r="http://schemas.openxmlformats.org/officeDocument/2006/relationships" r:id="rId7"/>
            <a:extLst>
              <a:ext uri="{FF2B5EF4-FFF2-40B4-BE49-F238E27FC236}">
                <a16:creationId xmlns:a16="http://schemas.microsoft.com/office/drawing/2014/main" id="{00000000-0008-0000-0000-000016000000}"/>
              </a:ext>
            </a:extLst>
          </xdr:cNvPr>
          <xdr:cNvSpPr>
            <a:spLocks/>
          </xdr:cNvSpPr>
        </xdr:nvSpPr>
        <xdr:spPr>
          <a:xfrm>
            <a:off x="4176220" y="1177362"/>
            <a:ext cx="112591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23" name="38 Rectángulo redondeado">
            <a:hlinkClick xmlns:r="http://schemas.openxmlformats.org/officeDocument/2006/relationships" r:id="rId8"/>
            <a:extLst>
              <a:ext uri="{FF2B5EF4-FFF2-40B4-BE49-F238E27FC236}">
                <a16:creationId xmlns:a16="http://schemas.microsoft.com/office/drawing/2014/main" id="{00000000-0008-0000-0000-000017000000}"/>
              </a:ext>
            </a:extLst>
          </xdr:cNvPr>
          <xdr:cNvSpPr>
            <a:spLocks/>
          </xdr:cNvSpPr>
        </xdr:nvSpPr>
        <xdr:spPr>
          <a:xfrm>
            <a:off x="5355886" y="1177362"/>
            <a:ext cx="130130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24" name="39 Rectángulo redondeado">
            <a:hlinkClick xmlns:r="http://schemas.openxmlformats.org/officeDocument/2006/relationships" r:id="rId9"/>
            <a:extLst>
              <a:ext uri="{FF2B5EF4-FFF2-40B4-BE49-F238E27FC236}">
                <a16:creationId xmlns:a16="http://schemas.microsoft.com/office/drawing/2014/main" id="{00000000-0008-0000-0000-000018000000}"/>
              </a:ext>
            </a:extLst>
          </xdr:cNvPr>
          <xdr:cNvSpPr>
            <a:spLocks/>
          </xdr:cNvSpPr>
        </xdr:nvSpPr>
        <xdr:spPr>
          <a:xfrm>
            <a:off x="6720469" y="1186887"/>
            <a:ext cx="1219660"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26" name="32 Rectángulo redondeado">
            <a:hlinkClick xmlns:r="http://schemas.openxmlformats.org/officeDocument/2006/relationships" r:id="rId10"/>
            <a:extLst>
              <a:ext uri="{FF2B5EF4-FFF2-40B4-BE49-F238E27FC236}">
                <a16:creationId xmlns:a16="http://schemas.microsoft.com/office/drawing/2014/main" id="{00000000-0008-0000-0000-00001A000000}"/>
              </a:ext>
            </a:extLst>
          </xdr:cNvPr>
          <xdr:cNvSpPr>
            <a:spLocks/>
          </xdr:cNvSpPr>
        </xdr:nvSpPr>
        <xdr:spPr>
          <a:xfrm>
            <a:off x="4566147" y="133349"/>
            <a:ext cx="1342518" cy="27622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sp macro="" textlink="">
        <xdr:nvSpPr>
          <xdr:cNvPr id="27" name="32 Rectángulo redondeado">
            <a:hlinkClick xmlns:r="http://schemas.openxmlformats.org/officeDocument/2006/relationships" r:id="rId11"/>
            <a:extLst>
              <a:ext uri="{FF2B5EF4-FFF2-40B4-BE49-F238E27FC236}">
                <a16:creationId xmlns:a16="http://schemas.microsoft.com/office/drawing/2014/main" id="{00000000-0008-0000-0000-00001B000000}"/>
              </a:ext>
            </a:extLst>
          </xdr:cNvPr>
          <xdr:cNvSpPr>
            <a:spLocks/>
          </xdr:cNvSpPr>
        </xdr:nvSpPr>
        <xdr:spPr>
          <a:xfrm>
            <a:off x="142643" y="1158312"/>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28" name="33 Rectángulo redondeado">
            <a:hlinkClick xmlns:r="http://schemas.openxmlformats.org/officeDocument/2006/relationships" r:id="rId12"/>
            <a:extLst>
              <a:ext uri="{FF2B5EF4-FFF2-40B4-BE49-F238E27FC236}">
                <a16:creationId xmlns:a16="http://schemas.microsoft.com/office/drawing/2014/main" id="{00000000-0008-0000-0000-00001C000000}"/>
              </a:ext>
            </a:extLst>
          </xdr:cNvPr>
          <xdr:cNvSpPr>
            <a:spLocks/>
          </xdr:cNvSpPr>
        </xdr:nvSpPr>
        <xdr:spPr>
          <a:xfrm>
            <a:off x="1548438" y="1171575"/>
            <a:ext cx="1366211" cy="248262"/>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editAs="oneCell">
    <xdr:from>
      <xdr:col>1</xdr:col>
      <xdr:colOff>95250</xdr:colOff>
      <xdr:row>3</xdr:row>
      <xdr:rowOff>66675</xdr:rowOff>
    </xdr:from>
    <xdr:to>
      <xdr:col>1</xdr:col>
      <xdr:colOff>847725</xdr:colOff>
      <xdr:row>6</xdr:row>
      <xdr:rowOff>19050</xdr:rowOff>
    </xdr:to>
    <xdr:pic>
      <xdr:nvPicPr>
        <xdr:cNvPr id="25" name="Picture 24">
          <a:extLst>
            <a:ext uri="{FF2B5EF4-FFF2-40B4-BE49-F238E27FC236}">
              <a16:creationId xmlns:a16="http://schemas.microsoft.com/office/drawing/2014/main" id="{00000000-0008-0000-0000-000019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419100" y="2105025"/>
          <a:ext cx="752475" cy="752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5133975</xdr:colOff>
      <xdr:row>0</xdr:row>
      <xdr:rowOff>28740</xdr:rowOff>
    </xdr:from>
    <xdr:to>
      <xdr:col>2</xdr:col>
      <xdr:colOff>5667375</xdr:colOff>
      <xdr:row>0</xdr:row>
      <xdr:rowOff>562140</xdr:rowOff>
    </xdr:to>
    <xdr:pic>
      <xdr:nvPicPr>
        <xdr:cNvPr id="29" name="Picture 28">
          <a:extLst>
            <a:ext uri="{FF2B5EF4-FFF2-40B4-BE49-F238E27FC236}">
              <a16:creationId xmlns:a16="http://schemas.microsoft.com/office/drawing/2014/main" id="{00000000-0008-0000-0000-00001D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6991350" y="28740"/>
          <a:ext cx="533400" cy="5334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200025</xdr:colOff>
      <xdr:row>5</xdr:row>
      <xdr:rowOff>66675</xdr:rowOff>
    </xdr:from>
    <xdr:to>
      <xdr:col>6</xdr:col>
      <xdr:colOff>857250</xdr:colOff>
      <xdr:row>5</xdr:row>
      <xdr:rowOff>390525</xdr:rowOff>
    </xdr:to>
    <xdr:sp macro="[0]!Info1" textlink="">
      <xdr:nvSpPr>
        <xdr:cNvPr id="22" name="Rounded Rectangle 21">
          <a:extLst>
            <a:ext uri="{FF2B5EF4-FFF2-40B4-BE49-F238E27FC236}">
              <a16:creationId xmlns:a16="http://schemas.microsoft.com/office/drawing/2014/main" id="{00000000-0008-0000-0100-000016000000}"/>
            </a:ext>
          </a:extLst>
        </xdr:cNvPr>
        <xdr:cNvSpPr/>
      </xdr:nvSpPr>
      <xdr:spPr>
        <a:xfrm>
          <a:off x="6172200" y="2266950"/>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100" b="1">
              <a:solidFill>
                <a:sysClr val="windowText" lastClr="000000"/>
              </a:solidFill>
            </a:rPr>
            <a:t>Information</a:t>
          </a:r>
        </a:p>
      </xdr:txBody>
    </xdr:sp>
    <xdr:clientData/>
  </xdr:twoCellAnchor>
  <xdr:twoCellAnchor>
    <xdr:from>
      <xdr:col>5</xdr:col>
      <xdr:colOff>200025</xdr:colOff>
      <xdr:row>10</xdr:row>
      <xdr:rowOff>34017</xdr:rowOff>
    </xdr:from>
    <xdr:to>
      <xdr:col>6</xdr:col>
      <xdr:colOff>857250</xdr:colOff>
      <xdr:row>10</xdr:row>
      <xdr:rowOff>357867</xdr:rowOff>
    </xdr:to>
    <xdr:sp macro="[0]!Info5" textlink="">
      <xdr:nvSpPr>
        <xdr:cNvPr id="29" name="Rounded Rectangle 28">
          <a:extLst>
            <a:ext uri="{FF2B5EF4-FFF2-40B4-BE49-F238E27FC236}">
              <a16:creationId xmlns:a16="http://schemas.microsoft.com/office/drawing/2014/main" id="{00000000-0008-0000-0100-00001D000000}"/>
            </a:ext>
          </a:extLst>
        </xdr:cNvPr>
        <xdr:cNvSpPr/>
      </xdr:nvSpPr>
      <xdr:spPr>
        <a:xfrm>
          <a:off x="6172200" y="4063092"/>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r>
            <a:rPr lang="en-US" sz="1100" b="1">
              <a:solidFill>
                <a:sysClr val="windowText" lastClr="000000"/>
              </a:solidFill>
              <a:latin typeface="+mn-lt"/>
              <a:ea typeface="+mn-ea"/>
              <a:cs typeface="+mn-cs"/>
            </a:rPr>
            <a:t>Information</a:t>
          </a:r>
        </a:p>
      </xdr:txBody>
    </xdr:sp>
    <xdr:clientData/>
  </xdr:twoCellAnchor>
  <xdr:twoCellAnchor>
    <xdr:from>
      <xdr:col>5</xdr:col>
      <xdr:colOff>200025</xdr:colOff>
      <xdr:row>12</xdr:row>
      <xdr:rowOff>13606</xdr:rowOff>
    </xdr:from>
    <xdr:to>
      <xdr:col>6</xdr:col>
      <xdr:colOff>857250</xdr:colOff>
      <xdr:row>12</xdr:row>
      <xdr:rowOff>337456</xdr:rowOff>
    </xdr:to>
    <xdr:sp macro="[0]!Info6" textlink="">
      <xdr:nvSpPr>
        <xdr:cNvPr id="30" name="Rounded Rectangle 29">
          <a:extLst>
            <a:ext uri="{FF2B5EF4-FFF2-40B4-BE49-F238E27FC236}">
              <a16:creationId xmlns:a16="http://schemas.microsoft.com/office/drawing/2014/main" id="{00000000-0008-0000-0100-00001E000000}"/>
            </a:ext>
          </a:extLst>
        </xdr:cNvPr>
        <xdr:cNvSpPr/>
      </xdr:nvSpPr>
      <xdr:spPr>
        <a:xfrm>
          <a:off x="6172200" y="4661806"/>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r>
            <a:rPr lang="en-US" sz="1100" b="1">
              <a:solidFill>
                <a:sysClr val="windowText" lastClr="000000"/>
              </a:solidFill>
              <a:latin typeface="+mn-lt"/>
              <a:ea typeface="+mn-ea"/>
              <a:cs typeface="+mn-cs"/>
            </a:rPr>
            <a:t>Information</a:t>
          </a:r>
        </a:p>
      </xdr:txBody>
    </xdr:sp>
    <xdr:clientData/>
  </xdr:twoCellAnchor>
  <xdr:twoCellAnchor>
    <xdr:from>
      <xdr:col>5</xdr:col>
      <xdr:colOff>200025</xdr:colOff>
      <xdr:row>14</xdr:row>
      <xdr:rowOff>21770</xdr:rowOff>
    </xdr:from>
    <xdr:to>
      <xdr:col>6</xdr:col>
      <xdr:colOff>857250</xdr:colOff>
      <xdr:row>14</xdr:row>
      <xdr:rowOff>345620</xdr:rowOff>
    </xdr:to>
    <xdr:sp macro="[0]!Info7" textlink="">
      <xdr:nvSpPr>
        <xdr:cNvPr id="31" name="Rounded Rectangle 30">
          <a:extLst>
            <a:ext uri="{FF2B5EF4-FFF2-40B4-BE49-F238E27FC236}">
              <a16:creationId xmlns:a16="http://schemas.microsoft.com/office/drawing/2014/main" id="{00000000-0008-0000-0100-00001F000000}"/>
            </a:ext>
          </a:extLst>
        </xdr:cNvPr>
        <xdr:cNvSpPr/>
      </xdr:nvSpPr>
      <xdr:spPr>
        <a:xfrm>
          <a:off x="6172200" y="5260520"/>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r>
            <a:rPr lang="en-US" sz="1100" b="1">
              <a:solidFill>
                <a:sysClr val="windowText" lastClr="000000"/>
              </a:solidFill>
              <a:latin typeface="+mn-lt"/>
              <a:ea typeface="+mn-ea"/>
              <a:cs typeface="+mn-cs"/>
            </a:rPr>
            <a:t>Information</a:t>
          </a:r>
        </a:p>
      </xdr:txBody>
    </xdr:sp>
    <xdr:clientData/>
  </xdr:twoCellAnchor>
  <xdr:twoCellAnchor>
    <xdr:from>
      <xdr:col>5</xdr:col>
      <xdr:colOff>200025</xdr:colOff>
      <xdr:row>16</xdr:row>
      <xdr:rowOff>29934</xdr:rowOff>
    </xdr:from>
    <xdr:to>
      <xdr:col>6</xdr:col>
      <xdr:colOff>857250</xdr:colOff>
      <xdr:row>16</xdr:row>
      <xdr:rowOff>353784</xdr:rowOff>
    </xdr:to>
    <xdr:sp macro="[0]!Info8" textlink="">
      <xdr:nvSpPr>
        <xdr:cNvPr id="32" name="Rounded Rectangle 31">
          <a:extLst>
            <a:ext uri="{FF2B5EF4-FFF2-40B4-BE49-F238E27FC236}">
              <a16:creationId xmlns:a16="http://schemas.microsoft.com/office/drawing/2014/main" id="{00000000-0008-0000-0100-000020000000}"/>
            </a:ext>
          </a:extLst>
        </xdr:cNvPr>
        <xdr:cNvSpPr/>
      </xdr:nvSpPr>
      <xdr:spPr>
        <a:xfrm>
          <a:off x="6172200" y="5859234"/>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100" b="1">
              <a:solidFill>
                <a:sysClr val="windowText" lastClr="000000"/>
              </a:solidFill>
            </a:rPr>
            <a:t>Information</a:t>
          </a:r>
        </a:p>
      </xdr:txBody>
    </xdr:sp>
    <xdr:clientData/>
  </xdr:twoCellAnchor>
  <xdr:twoCellAnchor>
    <xdr:from>
      <xdr:col>5</xdr:col>
      <xdr:colOff>200025</xdr:colOff>
      <xdr:row>18</xdr:row>
      <xdr:rowOff>66675</xdr:rowOff>
    </xdr:from>
    <xdr:to>
      <xdr:col>6</xdr:col>
      <xdr:colOff>857250</xdr:colOff>
      <xdr:row>18</xdr:row>
      <xdr:rowOff>390525</xdr:rowOff>
    </xdr:to>
    <xdr:sp macro="[0]!Info9" textlink="">
      <xdr:nvSpPr>
        <xdr:cNvPr id="33" name="Rounded Rectangle 32">
          <a:extLst>
            <a:ext uri="{FF2B5EF4-FFF2-40B4-BE49-F238E27FC236}">
              <a16:creationId xmlns:a16="http://schemas.microsoft.com/office/drawing/2014/main" id="{00000000-0008-0000-0100-000021000000}"/>
            </a:ext>
          </a:extLst>
        </xdr:cNvPr>
        <xdr:cNvSpPr/>
      </xdr:nvSpPr>
      <xdr:spPr>
        <a:xfrm>
          <a:off x="6172200" y="6457950"/>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r>
            <a:rPr lang="en-US" sz="1100" b="1">
              <a:solidFill>
                <a:sysClr val="windowText" lastClr="000000"/>
              </a:solidFill>
              <a:latin typeface="+mn-lt"/>
              <a:ea typeface="+mn-ea"/>
              <a:cs typeface="+mn-cs"/>
            </a:rPr>
            <a:t>Information</a:t>
          </a:r>
        </a:p>
      </xdr:txBody>
    </xdr:sp>
    <xdr:clientData/>
  </xdr:twoCellAnchor>
  <xdr:twoCellAnchor>
    <xdr:from>
      <xdr:col>5</xdr:col>
      <xdr:colOff>200025</xdr:colOff>
      <xdr:row>8</xdr:row>
      <xdr:rowOff>57150</xdr:rowOff>
    </xdr:from>
    <xdr:to>
      <xdr:col>6</xdr:col>
      <xdr:colOff>857250</xdr:colOff>
      <xdr:row>8</xdr:row>
      <xdr:rowOff>381000</xdr:rowOff>
    </xdr:to>
    <xdr:sp macro="[0]!Info4" textlink="">
      <xdr:nvSpPr>
        <xdr:cNvPr id="34" name="Rounded Rectangle 33">
          <a:extLst>
            <a:ext uri="{FF2B5EF4-FFF2-40B4-BE49-F238E27FC236}">
              <a16:creationId xmlns:a16="http://schemas.microsoft.com/office/drawing/2014/main" id="{00000000-0008-0000-0100-000022000000}"/>
            </a:ext>
          </a:extLst>
        </xdr:cNvPr>
        <xdr:cNvSpPr/>
      </xdr:nvSpPr>
      <xdr:spPr>
        <a:xfrm>
          <a:off x="6172200" y="7019925"/>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marL="0" indent="0" algn="ctr"/>
          <a:r>
            <a:rPr lang="en-US" sz="1100" b="1">
              <a:solidFill>
                <a:sysClr val="windowText" lastClr="000000"/>
              </a:solidFill>
              <a:latin typeface="+mn-lt"/>
              <a:ea typeface="+mn-ea"/>
              <a:cs typeface="+mn-cs"/>
            </a:rPr>
            <a:t>Information</a:t>
          </a:r>
        </a:p>
      </xdr:txBody>
    </xdr:sp>
    <xdr:clientData/>
  </xdr:twoCellAnchor>
  <xdr:twoCellAnchor>
    <xdr:from>
      <xdr:col>0</xdr:col>
      <xdr:colOff>0</xdr:colOff>
      <xdr:row>0</xdr:row>
      <xdr:rowOff>19216</xdr:rowOff>
    </xdr:from>
    <xdr:to>
      <xdr:col>9</xdr:col>
      <xdr:colOff>466725</xdr:colOff>
      <xdr:row>0</xdr:row>
      <xdr:rowOff>1448412</xdr:rowOff>
    </xdr:to>
    <xdr:grpSp>
      <xdr:nvGrpSpPr>
        <xdr:cNvPr id="21" name="Group 20">
          <a:extLst>
            <a:ext uri="{FF2B5EF4-FFF2-40B4-BE49-F238E27FC236}">
              <a16:creationId xmlns:a16="http://schemas.microsoft.com/office/drawing/2014/main" id="{00000000-0008-0000-0100-000015000000}"/>
            </a:ext>
          </a:extLst>
        </xdr:cNvPr>
        <xdr:cNvGrpSpPr/>
      </xdr:nvGrpSpPr>
      <xdr:grpSpPr>
        <a:xfrm>
          <a:off x="0" y="19216"/>
          <a:ext cx="7810500" cy="1429196"/>
          <a:chOff x="57150" y="19216"/>
          <a:chExt cx="7752888" cy="1429196"/>
        </a:xfrm>
      </xdr:grpSpPr>
      <xdr:sp macro="" textlink="">
        <xdr:nvSpPr>
          <xdr:cNvPr id="23" name="57 Proceso alternativo">
            <a:extLst>
              <a:ext uri="{FF2B5EF4-FFF2-40B4-BE49-F238E27FC236}">
                <a16:creationId xmlns:a16="http://schemas.microsoft.com/office/drawing/2014/main" id="{00000000-0008-0000-0100-000017000000}"/>
              </a:ext>
            </a:extLst>
          </xdr:cNvPr>
          <xdr:cNvSpPr/>
        </xdr:nvSpPr>
        <xdr:spPr>
          <a:xfrm>
            <a:off x="57150" y="83937"/>
            <a:ext cx="3006419"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4" name="58 Rectángulo redondeado">
            <a:extLst>
              <a:ext uri="{FF2B5EF4-FFF2-40B4-BE49-F238E27FC236}">
                <a16:creationId xmlns:a16="http://schemas.microsoft.com/office/drawing/2014/main" id="{00000000-0008-0000-0100-000018000000}"/>
              </a:ext>
            </a:extLst>
          </xdr:cNvPr>
          <xdr:cNvSpPr/>
        </xdr:nvSpPr>
        <xdr:spPr>
          <a:xfrm>
            <a:off x="104775" y="591143"/>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27" name="60 Rectángulo redondeado">
            <a:hlinkClick xmlns:r="http://schemas.openxmlformats.org/officeDocument/2006/relationships" r:id="rId1"/>
            <a:extLst>
              <a:ext uri="{FF2B5EF4-FFF2-40B4-BE49-F238E27FC236}">
                <a16:creationId xmlns:a16="http://schemas.microsoft.com/office/drawing/2014/main" id="{00000000-0008-0000-0100-00001B000000}"/>
              </a:ext>
            </a:extLst>
          </xdr:cNvPr>
          <xdr:cNvSpPr/>
        </xdr:nvSpPr>
        <xdr:spPr>
          <a:xfrm>
            <a:off x="139644" y="685800"/>
            <a:ext cx="1479088" cy="3048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28" name="68 Rectángulo redondeado">
            <a:hlinkClick xmlns:r="http://schemas.openxmlformats.org/officeDocument/2006/relationships" r:id="rId2"/>
            <a:extLst>
              <a:ext uri="{FF2B5EF4-FFF2-40B4-BE49-F238E27FC236}">
                <a16:creationId xmlns:a16="http://schemas.microsoft.com/office/drawing/2014/main" id="{00000000-0008-0000-0100-00001C000000}"/>
              </a:ext>
            </a:extLst>
          </xdr:cNvPr>
          <xdr:cNvSpPr/>
        </xdr:nvSpPr>
        <xdr:spPr>
          <a:xfrm>
            <a:off x="3104400" y="130319"/>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35" name="Picture 1">
            <a:extLst>
              <a:ext uri="{FF2B5EF4-FFF2-40B4-BE49-F238E27FC236}">
                <a16:creationId xmlns:a16="http://schemas.microsoft.com/office/drawing/2014/main" id="{00000000-0008-0000-0100-000023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6035464" y="19216"/>
            <a:ext cx="857250" cy="514184"/>
          </a:xfrm>
          <a:prstGeom prst="rect">
            <a:avLst/>
          </a:prstGeom>
          <a:noFill/>
          <a:ln w="1">
            <a:noFill/>
            <a:miter lim="800000"/>
            <a:headEnd/>
            <a:tailEnd type="none" w="med" len="med"/>
          </a:ln>
          <a:effectLst/>
        </xdr:spPr>
      </xdr:pic>
      <xdr:sp macro="" textlink="">
        <xdr:nvSpPr>
          <xdr:cNvPr id="37" name="58 Rectángulo redondeado">
            <a:extLst>
              <a:ext uri="{FF2B5EF4-FFF2-40B4-BE49-F238E27FC236}">
                <a16:creationId xmlns:a16="http://schemas.microsoft.com/office/drawing/2014/main" id="{00000000-0008-0000-0100-000025000000}"/>
              </a:ext>
            </a:extLst>
          </xdr:cNvPr>
          <xdr:cNvSpPr/>
        </xdr:nvSpPr>
        <xdr:spPr>
          <a:xfrm>
            <a:off x="3384950"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8" name="58 Rectángulo redondeado">
            <a:extLst>
              <a:ext uri="{FF2B5EF4-FFF2-40B4-BE49-F238E27FC236}">
                <a16:creationId xmlns:a16="http://schemas.microsoft.com/office/drawing/2014/main" id="{00000000-0008-0000-0100-000026000000}"/>
              </a:ext>
            </a:extLst>
          </xdr:cNvPr>
          <xdr:cNvSpPr/>
        </xdr:nvSpPr>
        <xdr:spPr>
          <a:xfrm>
            <a:off x="1744863"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9" name="62 Rectángulo redondeado">
            <a:hlinkClick xmlns:r="http://schemas.openxmlformats.org/officeDocument/2006/relationships" r:id="rId4"/>
            <a:extLst>
              <a:ext uri="{FF2B5EF4-FFF2-40B4-BE49-F238E27FC236}">
                <a16:creationId xmlns:a16="http://schemas.microsoft.com/office/drawing/2014/main" id="{00000000-0008-0000-0100-000027000000}"/>
              </a:ext>
            </a:extLst>
          </xdr:cNvPr>
          <xdr:cNvSpPr/>
        </xdr:nvSpPr>
        <xdr:spPr>
          <a:xfrm>
            <a:off x="1836090" y="695325"/>
            <a:ext cx="1404000" cy="29527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40" name="66 Rectángulo redondeado">
            <a:hlinkClick xmlns:r="http://schemas.openxmlformats.org/officeDocument/2006/relationships" r:id="rId5"/>
            <a:extLst>
              <a:ext uri="{FF2B5EF4-FFF2-40B4-BE49-F238E27FC236}">
                <a16:creationId xmlns:a16="http://schemas.microsoft.com/office/drawing/2014/main" id="{00000000-0008-0000-0100-000028000000}"/>
              </a:ext>
            </a:extLst>
          </xdr:cNvPr>
          <xdr:cNvSpPr/>
        </xdr:nvSpPr>
        <xdr:spPr>
          <a:xfrm>
            <a:off x="3491345" y="685799"/>
            <a:ext cx="1342407" cy="285751"/>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41" name="33 Rectángulo redondeado">
            <a:hlinkClick xmlns:r="http://schemas.openxmlformats.org/officeDocument/2006/relationships" r:id="rId6"/>
            <a:extLst>
              <a:ext uri="{FF2B5EF4-FFF2-40B4-BE49-F238E27FC236}">
                <a16:creationId xmlns:a16="http://schemas.microsoft.com/office/drawing/2014/main" id="{00000000-0008-0000-0100-000029000000}"/>
              </a:ext>
            </a:extLst>
          </xdr:cNvPr>
          <xdr:cNvSpPr>
            <a:spLocks/>
          </xdr:cNvSpPr>
        </xdr:nvSpPr>
        <xdr:spPr>
          <a:xfrm>
            <a:off x="2857170" y="1177361"/>
            <a:ext cx="1122274" cy="26091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42" name="34 Rectángulo redondeado">
            <a:hlinkClick xmlns:r="http://schemas.openxmlformats.org/officeDocument/2006/relationships" r:id="rId7"/>
            <a:extLst>
              <a:ext uri="{FF2B5EF4-FFF2-40B4-BE49-F238E27FC236}">
                <a16:creationId xmlns:a16="http://schemas.microsoft.com/office/drawing/2014/main" id="{00000000-0008-0000-0100-00002A000000}"/>
              </a:ext>
            </a:extLst>
          </xdr:cNvPr>
          <xdr:cNvSpPr>
            <a:spLocks/>
          </xdr:cNvSpPr>
        </xdr:nvSpPr>
        <xdr:spPr>
          <a:xfrm>
            <a:off x="4033879" y="1186887"/>
            <a:ext cx="112591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43" name="38 Rectángulo redondeado">
            <a:hlinkClick xmlns:r="http://schemas.openxmlformats.org/officeDocument/2006/relationships" r:id="rId8"/>
            <a:extLst>
              <a:ext uri="{FF2B5EF4-FFF2-40B4-BE49-F238E27FC236}">
                <a16:creationId xmlns:a16="http://schemas.microsoft.com/office/drawing/2014/main" id="{00000000-0008-0000-0100-00002B000000}"/>
              </a:ext>
            </a:extLst>
          </xdr:cNvPr>
          <xdr:cNvSpPr>
            <a:spLocks/>
          </xdr:cNvSpPr>
        </xdr:nvSpPr>
        <xdr:spPr>
          <a:xfrm>
            <a:off x="5224432" y="1196412"/>
            <a:ext cx="130130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44" name="39 Rectángulo redondeado">
            <a:hlinkClick xmlns:r="http://schemas.openxmlformats.org/officeDocument/2006/relationships" r:id="rId9"/>
            <a:extLst>
              <a:ext uri="{FF2B5EF4-FFF2-40B4-BE49-F238E27FC236}">
                <a16:creationId xmlns:a16="http://schemas.microsoft.com/office/drawing/2014/main" id="{00000000-0008-0000-0100-00002C000000}"/>
              </a:ext>
            </a:extLst>
          </xdr:cNvPr>
          <xdr:cNvSpPr>
            <a:spLocks/>
          </xdr:cNvSpPr>
        </xdr:nvSpPr>
        <xdr:spPr>
          <a:xfrm>
            <a:off x="6590378" y="1196412"/>
            <a:ext cx="1219660"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45" name="32 Rectángulo redondeado">
            <a:hlinkClick xmlns:r="http://schemas.openxmlformats.org/officeDocument/2006/relationships" r:id="rId10"/>
            <a:extLst>
              <a:ext uri="{FF2B5EF4-FFF2-40B4-BE49-F238E27FC236}">
                <a16:creationId xmlns:a16="http://schemas.microsoft.com/office/drawing/2014/main" id="{00000000-0008-0000-0100-00002D000000}"/>
              </a:ext>
            </a:extLst>
          </xdr:cNvPr>
          <xdr:cNvSpPr>
            <a:spLocks/>
          </xdr:cNvSpPr>
        </xdr:nvSpPr>
        <xdr:spPr>
          <a:xfrm>
            <a:off x="4567273" y="120087"/>
            <a:ext cx="1342518" cy="28948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sp macro="" textlink="">
        <xdr:nvSpPr>
          <xdr:cNvPr id="46" name="32 Rectángulo redondeado">
            <a:hlinkClick xmlns:r="http://schemas.openxmlformats.org/officeDocument/2006/relationships" r:id="rId11"/>
            <a:extLst>
              <a:ext uri="{FF2B5EF4-FFF2-40B4-BE49-F238E27FC236}">
                <a16:creationId xmlns:a16="http://schemas.microsoft.com/office/drawing/2014/main" id="{00000000-0008-0000-0100-00002E000000}"/>
              </a:ext>
            </a:extLst>
          </xdr:cNvPr>
          <xdr:cNvSpPr>
            <a:spLocks/>
          </xdr:cNvSpPr>
        </xdr:nvSpPr>
        <xdr:spPr>
          <a:xfrm>
            <a:off x="166982" y="1167837"/>
            <a:ext cx="1342518"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47" name="33 Rectángulo redondeado">
            <a:hlinkClick xmlns:r="http://schemas.openxmlformats.org/officeDocument/2006/relationships" r:id="rId12"/>
            <a:extLst>
              <a:ext uri="{FF2B5EF4-FFF2-40B4-BE49-F238E27FC236}">
                <a16:creationId xmlns:a16="http://schemas.microsoft.com/office/drawing/2014/main" id="{00000000-0008-0000-0100-00002F000000}"/>
              </a:ext>
            </a:extLst>
          </xdr:cNvPr>
          <xdr:cNvSpPr>
            <a:spLocks/>
          </xdr:cNvSpPr>
        </xdr:nvSpPr>
        <xdr:spPr>
          <a:xfrm>
            <a:off x="1574140" y="1167837"/>
            <a:ext cx="1197976" cy="27043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xdr:from>
      <xdr:col>20</xdr:col>
      <xdr:colOff>209550</xdr:colOff>
      <xdr:row>5</xdr:row>
      <xdr:rowOff>28575</xdr:rowOff>
    </xdr:from>
    <xdr:to>
      <xdr:col>22</xdr:col>
      <xdr:colOff>19050</xdr:colOff>
      <xdr:row>5</xdr:row>
      <xdr:rowOff>352425</xdr:rowOff>
    </xdr:to>
    <xdr:sp macro="[0]!Info2" textlink="">
      <xdr:nvSpPr>
        <xdr:cNvPr id="49" name="Rounded Rectangle 48">
          <a:extLst>
            <a:ext uri="{FF2B5EF4-FFF2-40B4-BE49-F238E27FC236}">
              <a16:creationId xmlns:a16="http://schemas.microsoft.com/office/drawing/2014/main" id="{00000000-0008-0000-0100-000031000000}"/>
            </a:ext>
          </a:extLst>
        </xdr:cNvPr>
        <xdr:cNvSpPr/>
      </xdr:nvSpPr>
      <xdr:spPr>
        <a:xfrm>
          <a:off x="14563725" y="2362200"/>
          <a:ext cx="971550" cy="32385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100" b="1">
              <a:solidFill>
                <a:sysClr val="windowText" lastClr="000000"/>
              </a:solidFill>
            </a:rPr>
            <a:t>Information</a:t>
          </a:r>
        </a:p>
      </xdr:txBody>
    </xdr:sp>
    <xdr:clientData/>
  </xdr:twoCellAnchor>
  <xdr:twoCellAnchor editAs="oneCell">
    <xdr:from>
      <xdr:col>8</xdr:col>
      <xdr:colOff>172102</xdr:colOff>
      <xdr:row>0</xdr:row>
      <xdr:rowOff>9692</xdr:rowOff>
    </xdr:from>
    <xdr:to>
      <xdr:col>9</xdr:col>
      <xdr:colOff>38100</xdr:colOff>
      <xdr:row>0</xdr:row>
      <xdr:rowOff>473075</xdr:rowOff>
    </xdr:to>
    <xdr:pic>
      <xdr:nvPicPr>
        <xdr:cNvPr id="48" name="Picture 47">
          <a:extLst>
            <a:ext uri="{FF2B5EF4-FFF2-40B4-BE49-F238E27FC236}">
              <a16:creationId xmlns:a16="http://schemas.microsoft.com/office/drawing/2014/main" id="{00000000-0008-0000-0100-000030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6934852" y="9692"/>
          <a:ext cx="447023" cy="4633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756708</xdr:colOff>
      <xdr:row>3</xdr:row>
      <xdr:rowOff>130176</xdr:rowOff>
    </xdr:from>
    <xdr:to>
      <xdr:col>10</xdr:col>
      <xdr:colOff>742951</xdr:colOff>
      <xdr:row>12</xdr:row>
      <xdr:rowOff>47625</xdr:rowOff>
    </xdr:to>
    <xdr:sp macro="" textlink="">
      <xdr:nvSpPr>
        <xdr:cNvPr id="2" name="Rounded Rectangle 1">
          <a:extLst>
            <a:ext uri="{FF2B5EF4-FFF2-40B4-BE49-F238E27FC236}">
              <a16:creationId xmlns:a16="http://schemas.microsoft.com/office/drawing/2014/main" id="{00000000-0008-0000-0200-000002000000}"/>
            </a:ext>
          </a:extLst>
        </xdr:cNvPr>
        <xdr:cNvSpPr/>
      </xdr:nvSpPr>
      <xdr:spPr>
        <a:xfrm>
          <a:off x="756708" y="2187576"/>
          <a:ext cx="10282768" cy="231774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algn="l"/>
          <a:r>
            <a:rPr lang="en-US" sz="1400"/>
            <a:t>Please</a:t>
          </a:r>
          <a:r>
            <a:rPr lang="en-US" sz="1400" baseline="0"/>
            <a:t> note that </a:t>
          </a:r>
          <a:r>
            <a:rPr lang="en-US" sz="1400" b="1" baseline="0"/>
            <a:t>all green cells in this sheet are required. </a:t>
          </a:r>
        </a:p>
        <a:p>
          <a:pPr marL="285750" indent="-285750" algn="l">
            <a:buFont typeface="Arial" panose="020B0604020202020204" pitchFamily="34" charset="0"/>
            <a:buChar char="•"/>
          </a:pPr>
          <a:r>
            <a:rPr lang="en-US" sz="1400" b="1" baseline="0"/>
            <a:t>Aboveground tree biomass</a:t>
          </a:r>
          <a:r>
            <a:rPr lang="en-US" sz="1400" baseline="0"/>
            <a:t>: if you have your own data, you can enter them in the cell below; if not, click on the link to the right for a list of </a:t>
          </a:r>
          <a:r>
            <a:rPr lang="en-US" sz="1400" b="1" baseline="0"/>
            <a:t>IPCC default values</a:t>
          </a:r>
          <a:r>
            <a:rPr lang="en-US" sz="1400" baseline="0"/>
            <a:t>. Select the IPCC value most representative of your project area, given the information provided in the table. You can also enter data obtained from other sources. </a:t>
          </a:r>
        </a:p>
        <a:p>
          <a:pPr marL="285750" indent="-285750" algn="l">
            <a:buFont typeface="Arial" panose="020B0604020202020204" pitchFamily="34" charset="0"/>
            <a:buChar char="•"/>
          </a:pPr>
          <a:r>
            <a:rPr lang="en-US" sz="1400" baseline="0"/>
            <a:t>If you want to assess the loss of carbon emissions as a result of selective logging in tropical forests, enter the annual extraction rate in total m</a:t>
          </a:r>
          <a:r>
            <a:rPr lang="en-US" sz="1400" baseline="30000"/>
            <a:t>3</a:t>
          </a:r>
          <a:r>
            <a:rPr lang="en-US" sz="1400" baseline="0"/>
            <a:t>/year in the </a:t>
          </a:r>
          <a:r>
            <a:rPr lang="en-US" sz="1400" b="1" baseline="0"/>
            <a:t>Loss method: Annual extraction rate tropical forest </a:t>
          </a:r>
          <a:r>
            <a:rPr lang="en-US" sz="1400" baseline="0"/>
            <a:t>cell below. Default values are available only for selected tropical timber-producing countries. Choose a country from the list; if your country is not listed, select one that is representative of your location. </a:t>
          </a:r>
        </a:p>
        <a:p>
          <a:pPr marL="285750" indent="-285750" algn="l">
            <a:buFont typeface="Arial" panose="020B0604020202020204" pitchFamily="34" charset="0"/>
            <a:buChar char="•"/>
          </a:pPr>
          <a:r>
            <a:rPr lang="en-US" sz="1400" baseline="0"/>
            <a:t>If the </a:t>
          </a:r>
          <a:r>
            <a:rPr lang="en-US" sz="1400" b="1" baseline="0"/>
            <a:t>Loss method </a:t>
          </a:r>
          <a:r>
            <a:rPr lang="en-US" sz="1400" baseline="0"/>
            <a:t>cells are greyed out, you first need to select </a:t>
          </a:r>
          <a:r>
            <a:rPr lang="en-US" sz="1400" b="1" baseline="0"/>
            <a:t>Yes</a:t>
          </a:r>
          <a:r>
            <a:rPr lang="en-US" sz="1400" baseline="0"/>
            <a:t> in the right-hand area under </a:t>
          </a:r>
          <a:r>
            <a:rPr lang="en-US" sz="1400" b="1" baseline="0"/>
            <a:t>Scope of assessment</a:t>
          </a:r>
          <a:r>
            <a:rPr lang="en-US" sz="1400" baseline="0"/>
            <a:t>.</a:t>
          </a:r>
          <a:endParaRPr lang="en-US" sz="1100" baseline="0"/>
        </a:p>
      </xdr:txBody>
    </xdr:sp>
    <xdr:clientData/>
  </xdr:twoCellAnchor>
  <xdr:twoCellAnchor>
    <xdr:from>
      <xdr:col>0</xdr:col>
      <xdr:colOff>0</xdr:colOff>
      <xdr:row>0</xdr:row>
      <xdr:rowOff>28575</xdr:rowOff>
    </xdr:from>
    <xdr:to>
      <xdr:col>6</xdr:col>
      <xdr:colOff>615404</xdr:colOff>
      <xdr:row>0</xdr:row>
      <xdr:rowOff>1438887</xdr:rowOff>
    </xdr:to>
    <xdr:grpSp>
      <xdr:nvGrpSpPr>
        <xdr:cNvPr id="22" name="Group 21">
          <a:extLst>
            <a:ext uri="{FF2B5EF4-FFF2-40B4-BE49-F238E27FC236}">
              <a16:creationId xmlns:a16="http://schemas.microsoft.com/office/drawing/2014/main" id="{00000000-0008-0000-0200-000016000000}"/>
            </a:ext>
          </a:extLst>
        </xdr:cNvPr>
        <xdr:cNvGrpSpPr/>
      </xdr:nvGrpSpPr>
      <xdr:grpSpPr>
        <a:xfrm>
          <a:off x="0" y="28575"/>
          <a:ext cx="7625804" cy="1410312"/>
          <a:chOff x="57150" y="28575"/>
          <a:chExt cx="7625804" cy="1410312"/>
        </a:xfrm>
      </xdr:grpSpPr>
      <xdr:sp macro="" textlink="">
        <xdr:nvSpPr>
          <xdr:cNvPr id="23" name="57 Proceso alternativo">
            <a:extLst>
              <a:ext uri="{FF2B5EF4-FFF2-40B4-BE49-F238E27FC236}">
                <a16:creationId xmlns:a16="http://schemas.microsoft.com/office/drawing/2014/main" id="{00000000-0008-0000-0200-000017000000}"/>
              </a:ext>
            </a:extLst>
          </xdr:cNvPr>
          <xdr:cNvSpPr/>
        </xdr:nvSpPr>
        <xdr:spPr>
          <a:xfrm>
            <a:off x="57150" y="83937"/>
            <a:ext cx="2972628"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4" name="58 Rectángulo redondeado">
            <a:extLst>
              <a:ext uri="{FF2B5EF4-FFF2-40B4-BE49-F238E27FC236}">
                <a16:creationId xmlns:a16="http://schemas.microsoft.com/office/drawing/2014/main" id="{00000000-0008-0000-0200-000018000000}"/>
              </a:ext>
            </a:extLst>
          </xdr:cNvPr>
          <xdr:cNvSpPr/>
        </xdr:nvSpPr>
        <xdr:spPr>
          <a:xfrm>
            <a:off x="104775" y="591143"/>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25" name="60 Rectángulo redondeado">
            <a:hlinkClick xmlns:r="http://schemas.openxmlformats.org/officeDocument/2006/relationships" r:id="rId1"/>
            <a:extLst>
              <a:ext uri="{FF2B5EF4-FFF2-40B4-BE49-F238E27FC236}">
                <a16:creationId xmlns:a16="http://schemas.microsoft.com/office/drawing/2014/main" id="{00000000-0008-0000-0200-000019000000}"/>
              </a:ext>
            </a:extLst>
          </xdr:cNvPr>
          <xdr:cNvSpPr/>
        </xdr:nvSpPr>
        <xdr:spPr>
          <a:xfrm>
            <a:off x="170263" y="678669"/>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26" name="68 Rectángulo redondeado">
            <a:hlinkClick xmlns:r="http://schemas.openxmlformats.org/officeDocument/2006/relationships" r:id="rId2"/>
            <a:extLst>
              <a:ext uri="{FF2B5EF4-FFF2-40B4-BE49-F238E27FC236}">
                <a16:creationId xmlns:a16="http://schemas.microsoft.com/office/drawing/2014/main" id="{00000000-0008-0000-0200-00001A000000}"/>
              </a:ext>
            </a:extLst>
          </xdr:cNvPr>
          <xdr:cNvSpPr/>
        </xdr:nvSpPr>
        <xdr:spPr>
          <a:xfrm>
            <a:off x="3110532" y="130319"/>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27" name="Picture 1">
            <a:extLst>
              <a:ext uri="{FF2B5EF4-FFF2-40B4-BE49-F238E27FC236}">
                <a16:creationId xmlns:a16="http://schemas.microsoft.com/office/drawing/2014/main" id="{00000000-0008-0000-0200-00001B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6034709" y="28575"/>
            <a:ext cx="857250" cy="505125"/>
          </a:xfrm>
          <a:prstGeom prst="rect">
            <a:avLst/>
          </a:prstGeom>
          <a:noFill/>
          <a:ln w="1">
            <a:noFill/>
            <a:miter lim="800000"/>
            <a:headEnd/>
            <a:tailEnd type="none" w="med" len="med"/>
          </a:ln>
          <a:effectLst/>
        </xdr:spPr>
      </xdr:pic>
      <xdr:sp macro="" textlink="">
        <xdr:nvSpPr>
          <xdr:cNvPr id="29" name="58 Rectángulo redondeado">
            <a:extLst>
              <a:ext uri="{FF2B5EF4-FFF2-40B4-BE49-F238E27FC236}">
                <a16:creationId xmlns:a16="http://schemas.microsoft.com/office/drawing/2014/main" id="{00000000-0008-0000-0200-00001D000000}"/>
              </a:ext>
            </a:extLst>
          </xdr:cNvPr>
          <xdr:cNvSpPr/>
        </xdr:nvSpPr>
        <xdr:spPr>
          <a:xfrm>
            <a:off x="3384950"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0" name="58 Rectángulo redondeado">
            <a:extLst>
              <a:ext uri="{FF2B5EF4-FFF2-40B4-BE49-F238E27FC236}">
                <a16:creationId xmlns:a16="http://schemas.microsoft.com/office/drawing/2014/main" id="{00000000-0008-0000-0200-00001E000000}"/>
              </a:ext>
            </a:extLst>
          </xdr:cNvPr>
          <xdr:cNvSpPr/>
        </xdr:nvSpPr>
        <xdr:spPr>
          <a:xfrm>
            <a:off x="1744863"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1" name="62 Rectángulo redondeado">
            <a:hlinkClick xmlns:r="http://schemas.openxmlformats.org/officeDocument/2006/relationships" r:id="rId4"/>
            <a:extLst>
              <a:ext uri="{FF2B5EF4-FFF2-40B4-BE49-F238E27FC236}">
                <a16:creationId xmlns:a16="http://schemas.microsoft.com/office/drawing/2014/main" id="{00000000-0008-0000-0200-00001F000000}"/>
              </a:ext>
            </a:extLst>
          </xdr:cNvPr>
          <xdr:cNvSpPr/>
        </xdr:nvSpPr>
        <xdr:spPr>
          <a:xfrm>
            <a:off x="1836090"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32" name="66 Rectángulo redondeado">
            <a:hlinkClick xmlns:r="http://schemas.openxmlformats.org/officeDocument/2006/relationships" r:id="rId5"/>
            <a:extLst>
              <a:ext uri="{FF2B5EF4-FFF2-40B4-BE49-F238E27FC236}">
                <a16:creationId xmlns:a16="http://schemas.microsoft.com/office/drawing/2014/main" id="{00000000-0008-0000-0200-000020000000}"/>
              </a:ext>
            </a:extLst>
          </xdr:cNvPr>
          <xdr:cNvSpPr/>
        </xdr:nvSpPr>
        <xdr:spPr>
          <a:xfrm>
            <a:off x="3491345"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33" name="33 Rectángulo redondeado">
            <a:hlinkClick xmlns:r="http://schemas.openxmlformats.org/officeDocument/2006/relationships" r:id="rId6"/>
            <a:extLst>
              <a:ext uri="{FF2B5EF4-FFF2-40B4-BE49-F238E27FC236}">
                <a16:creationId xmlns:a16="http://schemas.microsoft.com/office/drawing/2014/main" id="{00000000-0008-0000-0200-000021000000}"/>
              </a:ext>
            </a:extLst>
          </xdr:cNvPr>
          <xdr:cNvSpPr>
            <a:spLocks/>
          </xdr:cNvSpPr>
        </xdr:nvSpPr>
        <xdr:spPr>
          <a:xfrm>
            <a:off x="2771593" y="1186887"/>
            <a:ext cx="112227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34" name="34 Rectángulo redondeado">
            <a:hlinkClick xmlns:r="http://schemas.openxmlformats.org/officeDocument/2006/relationships" r:id="rId7"/>
            <a:extLst>
              <a:ext uri="{FF2B5EF4-FFF2-40B4-BE49-F238E27FC236}">
                <a16:creationId xmlns:a16="http://schemas.microsoft.com/office/drawing/2014/main" id="{00000000-0008-0000-0200-000022000000}"/>
              </a:ext>
            </a:extLst>
          </xdr:cNvPr>
          <xdr:cNvSpPr>
            <a:spLocks/>
          </xdr:cNvSpPr>
        </xdr:nvSpPr>
        <xdr:spPr>
          <a:xfrm>
            <a:off x="3947620" y="1186887"/>
            <a:ext cx="112591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35" name="38 Rectángulo redondeado">
            <a:hlinkClick xmlns:r="http://schemas.openxmlformats.org/officeDocument/2006/relationships" r:id="rId8"/>
            <a:extLst>
              <a:ext uri="{FF2B5EF4-FFF2-40B4-BE49-F238E27FC236}">
                <a16:creationId xmlns:a16="http://schemas.microsoft.com/office/drawing/2014/main" id="{00000000-0008-0000-0200-000023000000}"/>
              </a:ext>
            </a:extLst>
          </xdr:cNvPr>
          <xdr:cNvSpPr>
            <a:spLocks/>
          </xdr:cNvSpPr>
        </xdr:nvSpPr>
        <xdr:spPr>
          <a:xfrm>
            <a:off x="5117761" y="1186887"/>
            <a:ext cx="130130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36" name="39 Rectángulo redondeado">
            <a:hlinkClick xmlns:r="http://schemas.openxmlformats.org/officeDocument/2006/relationships" r:id="rId9"/>
            <a:extLst>
              <a:ext uri="{FF2B5EF4-FFF2-40B4-BE49-F238E27FC236}">
                <a16:creationId xmlns:a16="http://schemas.microsoft.com/office/drawing/2014/main" id="{00000000-0008-0000-0200-000024000000}"/>
              </a:ext>
            </a:extLst>
          </xdr:cNvPr>
          <xdr:cNvSpPr>
            <a:spLocks/>
          </xdr:cNvSpPr>
        </xdr:nvSpPr>
        <xdr:spPr>
          <a:xfrm>
            <a:off x="6463294" y="1186887"/>
            <a:ext cx="1219660"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37" name="32 Rectángulo redondeado">
            <a:hlinkClick xmlns:r="http://schemas.openxmlformats.org/officeDocument/2006/relationships" r:id="rId10"/>
            <a:extLst>
              <a:ext uri="{FF2B5EF4-FFF2-40B4-BE49-F238E27FC236}">
                <a16:creationId xmlns:a16="http://schemas.microsoft.com/office/drawing/2014/main" id="{00000000-0008-0000-0200-000025000000}"/>
              </a:ext>
            </a:extLst>
          </xdr:cNvPr>
          <xdr:cNvSpPr>
            <a:spLocks/>
          </xdr:cNvSpPr>
        </xdr:nvSpPr>
        <xdr:spPr>
          <a:xfrm>
            <a:off x="4556622" y="139137"/>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sp macro="" textlink="">
        <xdr:nvSpPr>
          <xdr:cNvPr id="38" name="32 Rectángulo redondeado">
            <a:hlinkClick xmlns:r="http://schemas.openxmlformats.org/officeDocument/2006/relationships" r:id="rId11"/>
            <a:extLst>
              <a:ext uri="{FF2B5EF4-FFF2-40B4-BE49-F238E27FC236}">
                <a16:creationId xmlns:a16="http://schemas.microsoft.com/office/drawing/2014/main" id="{00000000-0008-0000-0200-000026000000}"/>
              </a:ext>
            </a:extLst>
          </xdr:cNvPr>
          <xdr:cNvSpPr>
            <a:spLocks/>
          </xdr:cNvSpPr>
        </xdr:nvSpPr>
        <xdr:spPr>
          <a:xfrm>
            <a:off x="133118" y="1186887"/>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39" name="33 Rectángulo redondeado">
            <a:hlinkClick xmlns:r="http://schemas.openxmlformats.org/officeDocument/2006/relationships" r:id="rId12"/>
            <a:extLst>
              <a:ext uri="{FF2B5EF4-FFF2-40B4-BE49-F238E27FC236}">
                <a16:creationId xmlns:a16="http://schemas.microsoft.com/office/drawing/2014/main" id="{00000000-0008-0000-0200-000027000000}"/>
              </a:ext>
            </a:extLst>
          </xdr:cNvPr>
          <xdr:cNvSpPr>
            <a:spLocks/>
          </xdr:cNvSpPr>
        </xdr:nvSpPr>
        <xdr:spPr>
          <a:xfrm>
            <a:off x="1529389" y="1186887"/>
            <a:ext cx="1197976"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editAs="oneCell">
    <xdr:from>
      <xdr:col>5</xdr:col>
      <xdr:colOff>1085850</xdr:colOff>
      <xdr:row>0</xdr:row>
      <xdr:rowOff>28575</xdr:rowOff>
    </xdr:from>
    <xdr:to>
      <xdr:col>6</xdr:col>
      <xdr:colOff>371475</xdr:colOff>
      <xdr:row>0</xdr:row>
      <xdr:rowOff>533400</xdr:rowOff>
    </xdr:to>
    <xdr:pic>
      <xdr:nvPicPr>
        <xdr:cNvPr id="21" name="Picture 20">
          <a:extLst>
            <a:ext uri="{FF2B5EF4-FFF2-40B4-BE49-F238E27FC236}">
              <a16:creationId xmlns:a16="http://schemas.microsoft.com/office/drawing/2014/main" id="{00000000-0008-0000-0200-000015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6877050" y="28575"/>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409575</xdr:colOff>
      <xdr:row>3</xdr:row>
      <xdr:rowOff>133350</xdr:rowOff>
    </xdr:from>
    <xdr:to>
      <xdr:col>5</xdr:col>
      <xdr:colOff>1514475</xdr:colOff>
      <xdr:row>6</xdr:row>
      <xdr:rowOff>28575</xdr:rowOff>
    </xdr:to>
    <xdr:sp macro="" textlink="">
      <xdr:nvSpPr>
        <xdr:cNvPr id="15" name="14 Rectángulo redondeado">
          <a:hlinkClick xmlns:r="http://schemas.openxmlformats.org/officeDocument/2006/relationships" r:id="rId1"/>
          <a:extLst>
            <a:ext uri="{FF2B5EF4-FFF2-40B4-BE49-F238E27FC236}">
              <a16:creationId xmlns:a16="http://schemas.microsoft.com/office/drawing/2014/main" id="{00000000-0008-0000-0300-00000F000000}"/>
            </a:ext>
          </a:extLst>
        </xdr:cNvPr>
        <xdr:cNvSpPr/>
      </xdr:nvSpPr>
      <xdr:spPr>
        <a:xfrm>
          <a:off x="5105400" y="1847850"/>
          <a:ext cx="2171700" cy="466725"/>
        </a:xfrm>
        <a:prstGeom prst="roundRect">
          <a:avLst/>
        </a:prstGeom>
        <a:solidFill>
          <a:srgbClr val="FFFF00"/>
        </a:solidFill>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de-DE" sz="1200" b="1">
              <a:solidFill>
                <a:sysClr val="windowText" lastClr="000000"/>
              </a:solidFill>
            </a:rPr>
            <a:t>Return to Species</a:t>
          </a:r>
        </a:p>
      </xdr:txBody>
    </xdr:sp>
    <xdr:clientData/>
  </xdr:twoCellAnchor>
  <xdr:twoCellAnchor>
    <xdr:from>
      <xdr:col>15</xdr:col>
      <xdr:colOff>47625</xdr:colOff>
      <xdr:row>11</xdr:row>
      <xdr:rowOff>552450</xdr:rowOff>
    </xdr:from>
    <xdr:to>
      <xdr:col>17</xdr:col>
      <xdr:colOff>514350</xdr:colOff>
      <xdr:row>12</xdr:row>
      <xdr:rowOff>466725</xdr:rowOff>
    </xdr:to>
    <xdr:sp macro="" textlink="">
      <xdr:nvSpPr>
        <xdr:cNvPr id="16" name="15 Rectángulo redondeado">
          <a:hlinkClick xmlns:r="http://schemas.openxmlformats.org/officeDocument/2006/relationships" r:id="rId1"/>
          <a:extLst>
            <a:ext uri="{FF2B5EF4-FFF2-40B4-BE49-F238E27FC236}">
              <a16:creationId xmlns:a16="http://schemas.microsoft.com/office/drawing/2014/main" id="{00000000-0008-0000-0300-000010000000}"/>
            </a:ext>
          </a:extLst>
        </xdr:cNvPr>
        <xdr:cNvSpPr/>
      </xdr:nvSpPr>
      <xdr:spPr>
        <a:xfrm>
          <a:off x="17011650" y="3924300"/>
          <a:ext cx="1990725" cy="485775"/>
        </a:xfrm>
        <a:prstGeom prst="roundRect">
          <a:avLst/>
        </a:prstGeom>
        <a:solidFill>
          <a:srgbClr val="FFFF00"/>
        </a:solidFill>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de-DE" sz="1200" b="1">
              <a:solidFill>
                <a:sysClr val="windowText" lastClr="000000"/>
              </a:solidFill>
            </a:rPr>
            <a:t>Return to Species</a:t>
          </a:r>
        </a:p>
      </xdr:txBody>
    </xdr:sp>
    <xdr:clientData/>
  </xdr:twoCellAnchor>
  <xdr:twoCellAnchor>
    <xdr:from>
      <xdr:col>5</xdr:col>
      <xdr:colOff>1447001</xdr:colOff>
      <xdr:row>1</xdr:row>
      <xdr:rowOff>99150</xdr:rowOff>
    </xdr:from>
    <xdr:to>
      <xdr:col>6</xdr:col>
      <xdr:colOff>406001</xdr:colOff>
      <xdr:row>1</xdr:row>
      <xdr:rowOff>819150</xdr:rowOff>
    </xdr:to>
    <xdr:sp macro="[0]!Makro3" textlink="">
      <xdr:nvSpPr>
        <xdr:cNvPr id="50" name="Abgerundetes Rechteck 25">
          <a:extLst>
            <a:ext uri="{FF2B5EF4-FFF2-40B4-BE49-F238E27FC236}">
              <a16:creationId xmlns:a16="http://schemas.microsoft.com/office/drawing/2014/main" id="{00000000-0008-0000-0300-000032000000}"/>
            </a:ext>
          </a:extLst>
        </xdr:cNvPr>
        <xdr:cNvSpPr/>
      </xdr:nvSpPr>
      <xdr:spPr>
        <a:xfrm>
          <a:off x="7209626" y="1623150"/>
          <a:ext cx="864000" cy="72000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t>Show the</a:t>
          </a:r>
          <a:r>
            <a:rPr lang="en-US" sz="1100" baseline="0"/>
            <a:t> navigation bar</a:t>
          </a:r>
          <a:endParaRPr lang="en-US" sz="1100"/>
        </a:p>
      </xdr:txBody>
    </xdr:sp>
    <xdr:clientData/>
  </xdr:twoCellAnchor>
  <xdr:twoCellAnchor>
    <xdr:from>
      <xdr:col>0</xdr:col>
      <xdr:colOff>657225</xdr:colOff>
      <xdr:row>8</xdr:row>
      <xdr:rowOff>23817</xdr:rowOff>
    </xdr:from>
    <xdr:to>
      <xdr:col>9</xdr:col>
      <xdr:colOff>133352</xdr:colOff>
      <xdr:row>9</xdr:row>
      <xdr:rowOff>166692</xdr:rowOff>
    </xdr:to>
    <xdr:sp macro="" textlink="">
      <xdr:nvSpPr>
        <xdr:cNvPr id="2" name="Left Brace 1">
          <a:extLst>
            <a:ext uri="{FF2B5EF4-FFF2-40B4-BE49-F238E27FC236}">
              <a16:creationId xmlns:a16="http://schemas.microsoft.com/office/drawing/2014/main" id="{00000000-0008-0000-0300-000002000000}"/>
            </a:ext>
          </a:extLst>
        </xdr:cNvPr>
        <xdr:cNvSpPr/>
      </xdr:nvSpPr>
      <xdr:spPr>
        <a:xfrm rot="5400000">
          <a:off x="5962651" y="-2995609"/>
          <a:ext cx="333375" cy="10944227"/>
        </a:xfrm>
        <a:prstGeom prst="lef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US" sz="1100"/>
        </a:p>
      </xdr:txBody>
    </xdr:sp>
    <xdr:clientData/>
  </xdr:twoCellAnchor>
  <xdr:twoCellAnchor>
    <xdr:from>
      <xdr:col>26</xdr:col>
      <xdr:colOff>176893</xdr:colOff>
      <xdr:row>2</xdr:row>
      <xdr:rowOff>171449</xdr:rowOff>
    </xdr:from>
    <xdr:to>
      <xdr:col>26</xdr:col>
      <xdr:colOff>2286000</xdr:colOff>
      <xdr:row>5</xdr:row>
      <xdr:rowOff>68036</xdr:rowOff>
    </xdr:to>
    <xdr:sp macro="" textlink="">
      <xdr:nvSpPr>
        <xdr:cNvPr id="18" name="15 Rectángulo redondeado">
          <a:hlinkClick xmlns:r="http://schemas.openxmlformats.org/officeDocument/2006/relationships" r:id="rId2"/>
          <a:extLst>
            <a:ext uri="{FF2B5EF4-FFF2-40B4-BE49-F238E27FC236}">
              <a16:creationId xmlns:a16="http://schemas.microsoft.com/office/drawing/2014/main" id="{00000000-0008-0000-0300-000012000000}"/>
            </a:ext>
          </a:extLst>
        </xdr:cNvPr>
        <xdr:cNvSpPr/>
      </xdr:nvSpPr>
      <xdr:spPr>
        <a:xfrm>
          <a:off x="30398357" y="1695449"/>
          <a:ext cx="2109107" cy="468087"/>
        </a:xfrm>
        <a:prstGeom prst="roundRect">
          <a:avLst/>
        </a:prstGeom>
        <a:solidFill>
          <a:srgbClr val="FFFF00"/>
        </a:solidFill>
      </xdr:spPr>
      <xdr:style>
        <a:lnRef idx="2">
          <a:schemeClr val="accent5">
            <a:shade val="50000"/>
          </a:schemeClr>
        </a:lnRef>
        <a:fillRef idx="1">
          <a:schemeClr val="accent5"/>
        </a:fillRef>
        <a:effectRef idx="0">
          <a:schemeClr val="accent5"/>
        </a:effectRef>
        <a:fontRef idx="minor">
          <a:schemeClr val="lt1"/>
        </a:fontRef>
      </xdr:style>
      <xdr:txBody>
        <a:bodyPr vertOverflow="clip" rtlCol="0" anchor="ctr"/>
        <a:lstStyle/>
        <a:p>
          <a:pPr algn="ctr"/>
          <a:r>
            <a:rPr lang="de-DE" sz="1200" b="1">
              <a:solidFill>
                <a:sysClr val="windowText" lastClr="000000"/>
              </a:solidFill>
            </a:rPr>
            <a:t>Return to Background</a:t>
          </a:r>
          <a:r>
            <a:rPr lang="de-DE" sz="1200" b="1" baseline="0">
              <a:solidFill>
                <a:sysClr val="windowText" lastClr="000000"/>
              </a:solidFill>
            </a:rPr>
            <a:t> data</a:t>
          </a:r>
          <a:endParaRPr lang="de-DE" sz="1200" b="1">
            <a:solidFill>
              <a:sysClr val="windowText" lastClr="000000"/>
            </a:solidFill>
          </a:endParaRPr>
        </a:p>
      </xdr:txBody>
    </xdr:sp>
    <xdr:clientData/>
  </xdr:twoCellAnchor>
  <xdr:twoCellAnchor>
    <xdr:from>
      <xdr:col>18</xdr:col>
      <xdr:colOff>480331</xdr:colOff>
      <xdr:row>9</xdr:row>
      <xdr:rowOff>136074</xdr:rowOff>
    </xdr:from>
    <xdr:to>
      <xdr:col>30</xdr:col>
      <xdr:colOff>149679</xdr:colOff>
      <xdr:row>11</xdr:row>
      <xdr:rowOff>285750</xdr:rowOff>
    </xdr:to>
    <xdr:sp macro="" textlink="">
      <xdr:nvSpPr>
        <xdr:cNvPr id="20" name="Left Brace 19">
          <a:extLst>
            <a:ext uri="{FF2B5EF4-FFF2-40B4-BE49-F238E27FC236}">
              <a16:creationId xmlns:a16="http://schemas.microsoft.com/office/drawing/2014/main" id="{00000000-0008-0000-0300-000014000000}"/>
            </a:ext>
          </a:extLst>
        </xdr:cNvPr>
        <xdr:cNvSpPr/>
      </xdr:nvSpPr>
      <xdr:spPr>
        <a:xfrm rot="5400000">
          <a:off x="28468185" y="-5753780"/>
          <a:ext cx="666747" cy="18161455"/>
        </a:xfrm>
        <a:prstGeom prst="leftBrace">
          <a:avLst/>
        </a:prstGeom>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en-US" sz="1100"/>
        </a:p>
      </xdr:txBody>
    </xdr:sp>
    <xdr:clientData/>
  </xdr:twoCellAnchor>
  <xdr:twoCellAnchor>
    <xdr:from>
      <xdr:col>0</xdr:col>
      <xdr:colOff>0</xdr:colOff>
      <xdr:row>0</xdr:row>
      <xdr:rowOff>83937</xdr:rowOff>
    </xdr:from>
    <xdr:to>
      <xdr:col>2</xdr:col>
      <xdr:colOff>410403</xdr:colOff>
      <xdr:row>0</xdr:row>
      <xdr:rowOff>455412</xdr:rowOff>
    </xdr:to>
    <xdr:sp macro="" textlink="">
      <xdr:nvSpPr>
        <xdr:cNvPr id="32" name="57 Proceso alternativo">
          <a:extLst>
            <a:ext uri="{FF2B5EF4-FFF2-40B4-BE49-F238E27FC236}">
              <a16:creationId xmlns:a16="http://schemas.microsoft.com/office/drawing/2014/main" id="{00000000-0008-0000-0300-000020000000}"/>
            </a:ext>
          </a:extLst>
        </xdr:cNvPr>
        <xdr:cNvSpPr/>
      </xdr:nvSpPr>
      <xdr:spPr>
        <a:xfrm>
          <a:off x="0" y="83937"/>
          <a:ext cx="2972628"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a:t>
          </a:r>
          <a:r>
            <a:rPr lang="de-DE" sz="1400" b="1" baseline="0"/>
            <a:t> </a:t>
          </a:r>
          <a:r>
            <a:rPr lang="de-DE" sz="1400" b="1"/>
            <a:t>CARBON</a:t>
          </a:r>
          <a:r>
            <a:rPr lang="de-DE" sz="1400" b="1" baseline="0"/>
            <a:t> MONITORING TOOL</a:t>
          </a:r>
          <a:endParaRPr lang="de-DE" sz="1400" b="1"/>
        </a:p>
      </xdr:txBody>
    </xdr:sp>
    <xdr:clientData/>
  </xdr:twoCellAnchor>
  <xdr:twoCellAnchor>
    <xdr:from>
      <xdr:col>0</xdr:col>
      <xdr:colOff>47625</xdr:colOff>
      <xdr:row>0</xdr:row>
      <xdr:rowOff>591143</xdr:rowOff>
    </xdr:from>
    <xdr:to>
      <xdr:col>1</xdr:col>
      <xdr:colOff>869625</xdr:colOff>
      <xdr:row>0</xdr:row>
      <xdr:rowOff>1095143</xdr:rowOff>
    </xdr:to>
    <xdr:sp macro="" textlink="">
      <xdr:nvSpPr>
        <xdr:cNvPr id="33" name="58 Rectángulo redondeado">
          <a:extLst>
            <a:ext uri="{FF2B5EF4-FFF2-40B4-BE49-F238E27FC236}">
              <a16:creationId xmlns:a16="http://schemas.microsoft.com/office/drawing/2014/main" id="{00000000-0008-0000-0300-000021000000}"/>
            </a:ext>
          </a:extLst>
        </xdr:cNvPr>
        <xdr:cNvSpPr/>
      </xdr:nvSpPr>
      <xdr:spPr>
        <a:xfrm>
          <a:off x="47625"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clientData/>
  </xdr:twoCellAnchor>
  <xdr:twoCellAnchor>
    <xdr:from>
      <xdr:col>0</xdr:col>
      <xdr:colOff>113113</xdr:colOff>
      <xdr:row>0</xdr:row>
      <xdr:rowOff>678669</xdr:rowOff>
    </xdr:from>
    <xdr:to>
      <xdr:col>1</xdr:col>
      <xdr:colOff>755113</xdr:colOff>
      <xdr:row>0</xdr:row>
      <xdr:rowOff>1002669</xdr:rowOff>
    </xdr:to>
    <xdr:sp macro="" textlink="">
      <xdr:nvSpPr>
        <xdr:cNvPr id="34" name="60 Rectángulo redondeado">
          <a:hlinkClick xmlns:r="http://schemas.openxmlformats.org/officeDocument/2006/relationships" r:id="rId3"/>
          <a:extLst>
            <a:ext uri="{FF2B5EF4-FFF2-40B4-BE49-F238E27FC236}">
              <a16:creationId xmlns:a16="http://schemas.microsoft.com/office/drawing/2014/main" id="{00000000-0008-0000-0300-000022000000}"/>
            </a:ext>
          </a:extLst>
        </xdr:cNvPr>
        <xdr:cNvSpPr/>
      </xdr:nvSpPr>
      <xdr:spPr>
        <a:xfrm>
          <a:off x="113113"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clientData/>
  </xdr:twoCellAnchor>
  <xdr:twoCellAnchor>
    <xdr:from>
      <xdr:col>2</xdr:col>
      <xdr:colOff>576882</xdr:colOff>
      <xdr:row>0</xdr:row>
      <xdr:rowOff>139844</xdr:rowOff>
    </xdr:from>
    <xdr:to>
      <xdr:col>3</xdr:col>
      <xdr:colOff>900733</xdr:colOff>
      <xdr:row>0</xdr:row>
      <xdr:rowOff>397019</xdr:rowOff>
    </xdr:to>
    <xdr:sp macro="" textlink="">
      <xdr:nvSpPr>
        <xdr:cNvPr id="35" name="68 Rectángulo redondeado">
          <a:hlinkClick xmlns:r="http://schemas.openxmlformats.org/officeDocument/2006/relationships" r:id="rId4"/>
          <a:extLst>
            <a:ext uri="{FF2B5EF4-FFF2-40B4-BE49-F238E27FC236}">
              <a16:creationId xmlns:a16="http://schemas.microsoft.com/office/drawing/2014/main" id="{00000000-0008-0000-0300-000023000000}"/>
            </a:ext>
          </a:extLst>
        </xdr:cNvPr>
        <xdr:cNvSpPr/>
      </xdr:nvSpPr>
      <xdr:spPr>
        <a:xfrm>
          <a:off x="3139107" y="139844"/>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clientData/>
  </xdr:twoCellAnchor>
  <xdr:twoCellAnchor>
    <xdr:from>
      <xdr:col>4</xdr:col>
      <xdr:colOff>557834</xdr:colOff>
      <xdr:row>0</xdr:row>
      <xdr:rowOff>38266</xdr:rowOff>
    </xdr:from>
    <xdr:to>
      <xdr:col>5</xdr:col>
      <xdr:colOff>348284</xdr:colOff>
      <xdr:row>0</xdr:row>
      <xdr:rowOff>514650</xdr:rowOff>
    </xdr:to>
    <xdr:pic>
      <xdr:nvPicPr>
        <xdr:cNvPr id="36" name="Picture 1">
          <a:extLst>
            <a:ext uri="{FF2B5EF4-FFF2-40B4-BE49-F238E27FC236}">
              <a16:creationId xmlns:a16="http://schemas.microsoft.com/office/drawing/2014/main" id="{00000000-0008-0000-0300-00002400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5253659" y="38266"/>
          <a:ext cx="857250" cy="476384"/>
        </a:xfrm>
        <a:prstGeom prst="rect">
          <a:avLst/>
        </a:prstGeom>
        <a:noFill/>
        <a:ln w="1">
          <a:noFill/>
          <a:miter lim="800000"/>
          <a:headEnd/>
          <a:tailEnd type="none" w="med" len="med"/>
        </a:ln>
        <a:effectLst/>
      </xdr:spPr>
    </xdr:pic>
    <xdr:clientData/>
  </xdr:twoCellAnchor>
  <xdr:twoCellAnchor>
    <xdr:from>
      <xdr:col>2</xdr:col>
      <xdr:colOff>765575</xdr:colOff>
      <xdr:row>0</xdr:row>
      <xdr:rowOff>591143</xdr:rowOff>
    </xdr:from>
    <xdr:to>
      <xdr:col>4</xdr:col>
      <xdr:colOff>215975</xdr:colOff>
      <xdr:row>0</xdr:row>
      <xdr:rowOff>1095143</xdr:rowOff>
    </xdr:to>
    <xdr:sp macro="" textlink="">
      <xdr:nvSpPr>
        <xdr:cNvPr id="38" name="58 Rectángulo redondeado">
          <a:extLst>
            <a:ext uri="{FF2B5EF4-FFF2-40B4-BE49-F238E27FC236}">
              <a16:creationId xmlns:a16="http://schemas.microsoft.com/office/drawing/2014/main" id="{00000000-0008-0000-0300-000026000000}"/>
            </a:ext>
          </a:extLst>
        </xdr:cNvPr>
        <xdr:cNvSpPr/>
      </xdr:nvSpPr>
      <xdr:spPr>
        <a:xfrm>
          <a:off x="3327800"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clientData/>
  </xdr:twoCellAnchor>
  <xdr:twoCellAnchor>
    <xdr:from>
      <xdr:col>1</xdr:col>
      <xdr:colOff>925713</xdr:colOff>
      <xdr:row>0</xdr:row>
      <xdr:rowOff>591143</xdr:rowOff>
    </xdr:from>
    <xdr:to>
      <xdr:col>2</xdr:col>
      <xdr:colOff>709488</xdr:colOff>
      <xdr:row>0</xdr:row>
      <xdr:rowOff>1095143</xdr:rowOff>
    </xdr:to>
    <xdr:sp macro="" textlink="">
      <xdr:nvSpPr>
        <xdr:cNvPr id="39" name="58 Rectángulo redondeado">
          <a:extLst>
            <a:ext uri="{FF2B5EF4-FFF2-40B4-BE49-F238E27FC236}">
              <a16:creationId xmlns:a16="http://schemas.microsoft.com/office/drawing/2014/main" id="{00000000-0008-0000-0300-000027000000}"/>
            </a:ext>
          </a:extLst>
        </xdr:cNvPr>
        <xdr:cNvSpPr/>
      </xdr:nvSpPr>
      <xdr:spPr>
        <a:xfrm>
          <a:off x="1687713"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clientData/>
  </xdr:twoCellAnchor>
  <xdr:twoCellAnchor>
    <xdr:from>
      <xdr:col>1</xdr:col>
      <xdr:colOff>1016940</xdr:colOff>
      <xdr:row>0</xdr:row>
      <xdr:rowOff>678669</xdr:rowOff>
    </xdr:from>
    <xdr:to>
      <xdr:col>2</xdr:col>
      <xdr:colOff>620715</xdr:colOff>
      <xdr:row>0</xdr:row>
      <xdr:rowOff>1002669</xdr:rowOff>
    </xdr:to>
    <xdr:sp macro="" textlink="">
      <xdr:nvSpPr>
        <xdr:cNvPr id="40" name="62 Rectángulo redondeado">
          <a:hlinkClick xmlns:r="http://schemas.openxmlformats.org/officeDocument/2006/relationships" r:id="rId6"/>
          <a:extLst>
            <a:ext uri="{FF2B5EF4-FFF2-40B4-BE49-F238E27FC236}">
              <a16:creationId xmlns:a16="http://schemas.microsoft.com/office/drawing/2014/main" id="{00000000-0008-0000-0300-000028000000}"/>
            </a:ext>
          </a:extLst>
        </xdr:cNvPr>
        <xdr:cNvSpPr/>
      </xdr:nvSpPr>
      <xdr:spPr>
        <a:xfrm>
          <a:off x="1778940"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clientData/>
  </xdr:twoCellAnchor>
  <xdr:twoCellAnchor>
    <xdr:from>
      <xdr:col>2</xdr:col>
      <xdr:colOff>871970</xdr:colOff>
      <xdr:row>0</xdr:row>
      <xdr:rowOff>678669</xdr:rowOff>
    </xdr:from>
    <xdr:to>
      <xdr:col>4</xdr:col>
      <xdr:colOff>142370</xdr:colOff>
      <xdr:row>0</xdr:row>
      <xdr:rowOff>1002669</xdr:rowOff>
    </xdr:to>
    <xdr:sp macro="" textlink="">
      <xdr:nvSpPr>
        <xdr:cNvPr id="41" name="66 Rectángulo redondeado">
          <a:hlinkClick xmlns:r="http://schemas.openxmlformats.org/officeDocument/2006/relationships" r:id="rId7"/>
          <a:extLst>
            <a:ext uri="{FF2B5EF4-FFF2-40B4-BE49-F238E27FC236}">
              <a16:creationId xmlns:a16="http://schemas.microsoft.com/office/drawing/2014/main" id="{00000000-0008-0000-0300-000029000000}"/>
            </a:ext>
          </a:extLst>
        </xdr:cNvPr>
        <xdr:cNvSpPr/>
      </xdr:nvSpPr>
      <xdr:spPr>
        <a:xfrm>
          <a:off x="3434195"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clientData/>
  </xdr:twoCellAnchor>
  <xdr:twoCellAnchor editAs="oneCell">
    <xdr:from>
      <xdr:col>5</xdr:col>
      <xdr:colOff>392205</xdr:colOff>
      <xdr:row>0</xdr:row>
      <xdr:rowOff>22412</xdr:rowOff>
    </xdr:from>
    <xdr:to>
      <xdr:col>5</xdr:col>
      <xdr:colOff>896470</xdr:colOff>
      <xdr:row>0</xdr:row>
      <xdr:rowOff>526677</xdr:rowOff>
    </xdr:to>
    <xdr:pic>
      <xdr:nvPicPr>
        <xdr:cNvPr id="19" name="Picture 18">
          <a:extLst>
            <a:ext uri="{FF2B5EF4-FFF2-40B4-BE49-F238E27FC236}">
              <a16:creationId xmlns:a16="http://schemas.microsoft.com/office/drawing/2014/main" id="{00000000-0008-0000-0300-000013000000}"/>
            </a:ext>
          </a:extLst>
        </xdr:cNvPr>
        <xdr:cNvPicPr>
          <a:picLocks noChangeAspect="1" noChangeArrowheads="1"/>
        </xdr:cNvPicPr>
      </xdr:nvPicPr>
      <xdr:blipFill>
        <a:blip xmlns:r="http://schemas.openxmlformats.org/officeDocument/2006/relationships" r:embed="rId8" cstate="email">
          <a:extLst>
            <a:ext uri="{28A0092B-C50C-407E-A947-70E740481C1C}">
              <a14:useLocalDpi xmlns:a14="http://schemas.microsoft.com/office/drawing/2010/main"/>
            </a:ext>
          </a:extLst>
        </a:blip>
        <a:srcRect/>
        <a:stretch>
          <a:fillRect/>
        </a:stretch>
      </xdr:blipFill>
      <xdr:spPr bwMode="auto">
        <a:xfrm>
          <a:off x="6152029" y="22412"/>
          <a:ext cx="504265" cy="5042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714374</xdr:colOff>
      <xdr:row>3</xdr:row>
      <xdr:rowOff>76199</xdr:rowOff>
    </xdr:from>
    <xdr:to>
      <xdr:col>14</xdr:col>
      <xdr:colOff>742950</xdr:colOff>
      <xdr:row>11</xdr:row>
      <xdr:rowOff>209550</xdr:rowOff>
    </xdr:to>
    <xdr:sp macro="" textlink="">
      <xdr:nvSpPr>
        <xdr:cNvPr id="21" name="Rounded Rectangle 20">
          <a:extLst>
            <a:ext uri="{FF2B5EF4-FFF2-40B4-BE49-F238E27FC236}">
              <a16:creationId xmlns:a16="http://schemas.microsoft.com/office/drawing/2014/main" id="{00000000-0008-0000-0400-000015000000}"/>
            </a:ext>
          </a:extLst>
        </xdr:cNvPr>
        <xdr:cNvSpPr/>
      </xdr:nvSpPr>
      <xdr:spPr>
        <a:xfrm>
          <a:off x="714374" y="1943099"/>
          <a:ext cx="11430001" cy="1619251"/>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horzOverflow="clip" rtlCol="0" anchor="t"/>
        <a:lstStyle/>
        <a:p>
          <a:pPr marL="285750" indent="-285750" algn="l">
            <a:buFont typeface="Arial" panose="020B0604020202020204" pitchFamily="34" charset="0"/>
            <a:buChar char="•"/>
          </a:pPr>
          <a:r>
            <a:rPr lang="en-US" sz="1400"/>
            <a:t>Fill</a:t>
          </a:r>
          <a:r>
            <a:rPr lang="en-US" sz="1400" baseline="0"/>
            <a:t> in </a:t>
          </a:r>
          <a:r>
            <a:rPr lang="en-US" sz="1400"/>
            <a:t> the blank cells with your own values. If you do not have values of your own, use the </a:t>
          </a:r>
          <a:r>
            <a:rPr lang="en-US" sz="1400" b="0"/>
            <a:t>IPCC default values. </a:t>
          </a:r>
          <a:r>
            <a:rPr lang="en-US" sz="1400"/>
            <a:t>When using IPCC default values for </a:t>
          </a:r>
          <a:r>
            <a:rPr lang="en-US" sz="1400" b="1"/>
            <a:t>Biomass expansion factor (</a:t>
          </a:r>
          <a:r>
            <a:rPr lang="en-US" sz="1400" b="1" i="0"/>
            <a:t>BEF)</a:t>
          </a:r>
          <a:r>
            <a:rPr lang="en-US" sz="1400"/>
            <a:t>, specify the </a:t>
          </a:r>
          <a:r>
            <a:rPr lang="en-US" sz="1400" b="0" i="1" u="none"/>
            <a:t>mean</a:t>
          </a:r>
          <a:r>
            <a:rPr lang="en-US" sz="1400"/>
            <a:t> value as shown</a:t>
          </a:r>
          <a:r>
            <a:rPr lang="en-US" sz="1400" baseline="0"/>
            <a:t> within the table</a:t>
          </a:r>
          <a:r>
            <a:rPr lang="en-US" sz="1400"/>
            <a:t>. Each row should be for one species/species group.  </a:t>
          </a:r>
        </a:p>
        <a:p>
          <a:pPr marL="285750" marR="0" lvl="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kumimoji="0" lang="en-US" sz="1400" b="0" i="0" u="none" strike="noStrike" kern="0" cap="none" spc="0" normalizeH="0" baseline="0" noProof="0">
              <a:ln>
                <a:noFill/>
              </a:ln>
              <a:solidFill>
                <a:prstClr val="black"/>
              </a:solidFill>
              <a:effectLst/>
              <a:uLnTx/>
              <a:uFillTx/>
              <a:latin typeface="+mn-lt"/>
              <a:ea typeface="+mn-ea"/>
              <a:cs typeface="+mn-cs"/>
            </a:rPr>
            <a:t>Within the IPCC default values for </a:t>
          </a:r>
          <a:r>
            <a:rPr kumimoji="0" lang="en-US" sz="1400" b="1" i="0" u="none" strike="noStrike" kern="0" cap="none" spc="0" normalizeH="0" baseline="0" noProof="0">
              <a:ln>
                <a:noFill/>
              </a:ln>
              <a:solidFill>
                <a:prstClr val="black"/>
              </a:solidFill>
              <a:effectLst/>
              <a:uLnTx/>
              <a:uFillTx/>
              <a:latin typeface="+mn-lt"/>
              <a:ea typeface="+mn-ea"/>
              <a:cs typeface="+mn-cs"/>
            </a:rPr>
            <a:t>Wood density</a:t>
          </a:r>
          <a:r>
            <a:rPr kumimoji="0" lang="en-US" sz="1400" b="0" i="0" u="none" strike="noStrike" kern="0" cap="none" spc="0" normalizeH="0" baseline="0" noProof="0">
              <a:ln>
                <a:noFill/>
              </a:ln>
              <a:solidFill>
                <a:prstClr val="black"/>
              </a:solidFill>
              <a:effectLst/>
              <a:uLnTx/>
              <a:uFillTx/>
              <a:latin typeface="+mn-lt"/>
              <a:ea typeface="+mn-ea"/>
              <a:cs typeface="+mn-cs"/>
            </a:rPr>
            <a:t>, some species have a range of values. Select a value that falls within the range; for example, for the range 0.52-0.56 you could calculate the mean by adding the two values and dividing by 2 (in this example, 0.54).</a:t>
          </a:r>
        </a:p>
        <a:p>
          <a:pPr marL="285750" marR="0" lvl="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a:t>Click</a:t>
          </a:r>
          <a:r>
            <a:rPr lang="en-US" sz="1400" baseline="0"/>
            <a:t> the links below for the IPCC default value tables for Wood density and Biomass expansion factor. You can cut and paste the values from the IPCC tables into the cells below.</a:t>
          </a:r>
        </a:p>
      </xdr:txBody>
    </xdr:sp>
    <xdr:clientData/>
  </xdr:twoCellAnchor>
  <xdr:twoCellAnchor editAs="absolute">
    <xdr:from>
      <xdr:col>3</xdr:col>
      <xdr:colOff>510887</xdr:colOff>
      <xdr:row>0</xdr:row>
      <xdr:rowOff>736023</xdr:rowOff>
    </xdr:from>
    <xdr:to>
      <xdr:col>4</xdr:col>
      <xdr:colOff>199159</xdr:colOff>
      <xdr:row>0</xdr:row>
      <xdr:rowOff>995795</xdr:rowOff>
    </xdr:to>
    <xdr:sp macro="[0]!delete_rows" textlink="">
      <xdr:nvSpPr>
        <xdr:cNvPr id="22" name="Rounded Rectangle 21">
          <a:extLst>
            <a:ext uri="{FF2B5EF4-FFF2-40B4-BE49-F238E27FC236}">
              <a16:creationId xmlns:a16="http://schemas.microsoft.com/office/drawing/2014/main" id="{00000000-0008-0000-0400-000016000000}"/>
            </a:ext>
          </a:extLst>
        </xdr:cNvPr>
        <xdr:cNvSpPr/>
      </xdr:nvSpPr>
      <xdr:spPr>
        <a:xfrm>
          <a:off x="5074228" y="736023"/>
          <a:ext cx="1558636" cy="259772"/>
        </a:xfrm>
        <a:prstGeom prst="roundRect">
          <a:avLst/>
        </a:prstGeom>
        <a:ln>
          <a:noFill/>
        </a:ln>
        <a:scene3d>
          <a:camera prst="orthographicFront"/>
          <a:lightRig rig="threePt" dir="t"/>
        </a:scene3d>
        <a:sp3d prstMaterial="dkEdge">
          <a:bevelT/>
          <a:bevelB/>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IN" sz="1100"/>
            <a:t>Delete selected Species</a:t>
          </a:r>
        </a:p>
      </xdr:txBody>
    </xdr:sp>
    <xdr:clientData/>
  </xdr:twoCellAnchor>
  <xdr:twoCellAnchor>
    <xdr:from>
      <xdr:col>0</xdr:col>
      <xdr:colOff>0</xdr:colOff>
      <xdr:row>0</xdr:row>
      <xdr:rowOff>19050</xdr:rowOff>
    </xdr:from>
    <xdr:to>
      <xdr:col>4</xdr:col>
      <xdr:colOff>1261372</xdr:colOff>
      <xdr:row>0</xdr:row>
      <xdr:rowOff>1429362</xdr:rowOff>
    </xdr:to>
    <xdr:grpSp>
      <xdr:nvGrpSpPr>
        <xdr:cNvPr id="29" name="Group 28">
          <a:extLst>
            <a:ext uri="{FF2B5EF4-FFF2-40B4-BE49-F238E27FC236}">
              <a16:creationId xmlns:a16="http://schemas.microsoft.com/office/drawing/2014/main" id="{00000000-0008-0000-0400-00001D000000}"/>
            </a:ext>
          </a:extLst>
        </xdr:cNvPr>
        <xdr:cNvGrpSpPr/>
      </xdr:nvGrpSpPr>
      <xdr:grpSpPr>
        <a:xfrm>
          <a:off x="0" y="19050"/>
          <a:ext cx="7690747" cy="1410312"/>
          <a:chOff x="57150" y="19050"/>
          <a:chExt cx="7692206" cy="1410312"/>
        </a:xfrm>
      </xdr:grpSpPr>
      <xdr:sp macro="" textlink="">
        <xdr:nvSpPr>
          <xdr:cNvPr id="30" name="57 Proceso alternativo">
            <a:extLst>
              <a:ext uri="{FF2B5EF4-FFF2-40B4-BE49-F238E27FC236}">
                <a16:creationId xmlns:a16="http://schemas.microsoft.com/office/drawing/2014/main" id="{00000000-0008-0000-0400-00001E000000}"/>
              </a:ext>
            </a:extLst>
          </xdr:cNvPr>
          <xdr:cNvSpPr/>
        </xdr:nvSpPr>
        <xdr:spPr>
          <a:xfrm>
            <a:off x="57150" y="83937"/>
            <a:ext cx="2972628"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31" name="58 Rectángulo redondeado">
            <a:extLst>
              <a:ext uri="{FF2B5EF4-FFF2-40B4-BE49-F238E27FC236}">
                <a16:creationId xmlns:a16="http://schemas.microsoft.com/office/drawing/2014/main" id="{00000000-0008-0000-0400-00001F000000}"/>
              </a:ext>
            </a:extLst>
          </xdr:cNvPr>
          <xdr:cNvSpPr/>
        </xdr:nvSpPr>
        <xdr:spPr>
          <a:xfrm>
            <a:off x="104775" y="591143"/>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32" name="60 Rectángulo redondeado">
            <a:hlinkClick xmlns:r="http://schemas.openxmlformats.org/officeDocument/2006/relationships" r:id="rId1"/>
            <a:extLst>
              <a:ext uri="{FF2B5EF4-FFF2-40B4-BE49-F238E27FC236}">
                <a16:creationId xmlns:a16="http://schemas.microsoft.com/office/drawing/2014/main" id="{00000000-0008-0000-0400-000020000000}"/>
              </a:ext>
            </a:extLst>
          </xdr:cNvPr>
          <xdr:cNvSpPr/>
        </xdr:nvSpPr>
        <xdr:spPr>
          <a:xfrm>
            <a:off x="170263" y="678669"/>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33" name="68 Rectángulo redondeado">
            <a:hlinkClick xmlns:r="http://schemas.openxmlformats.org/officeDocument/2006/relationships" r:id="rId2"/>
            <a:extLst>
              <a:ext uri="{FF2B5EF4-FFF2-40B4-BE49-F238E27FC236}">
                <a16:creationId xmlns:a16="http://schemas.microsoft.com/office/drawing/2014/main" id="{00000000-0008-0000-0400-000021000000}"/>
              </a:ext>
            </a:extLst>
          </xdr:cNvPr>
          <xdr:cNvSpPr/>
        </xdr:nvSpPr>
        <xdr:spPr>
          <a:xfrm>
            <a:off x="3062882" y="120794"/>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34" name="Picture 1">
            <a:extLst>
              <a:ext uri="{FF2B5EF4-FFF2-40B4-BE49-F238E27FC236}">
                <a16:creationId xmlns:a16="http://schemas.microsoft.com/office/drawing/2014/main" id="{00000000-0008-0000-0400-000022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5987212" y="19050"/>
            <a:ext cx="857250" cy="514650"/>
          </a:xfrm>
          <a:prstGeom prst="rect">
            <a:avLst/>
          </a:prstGeom>
          <a:noFill/>
          <a:ln w="1">
            <a:noFill/>
            <a:miter lim="800000"/>
            <a:headEnd/>
            <a:tailEnd type="none" w="med" len="med"/>
          </a:ln>
          <a:effectLst/>
        </xdr:spPr>
      </xdr:pic>
      <xdr:sp macro="" textlink="">
        <xdr:nvSpPr>
          <xdr:cNvPr id="36" name="58 Rectángulo redondeado">
            <a:extLst>
              <a:ext uri="{FF2B5EF4-FFF2-40B4-BE49-F238E27FC236}">
                <a16:creationId xmlns:a16="http://schemas.microsoft.com/office/drawing/2014/main" id="{00000000-0008-0000-0400-000024000000}"/>
              </a:ext>
            </a:extLst>
          </xdr:cNvPr>
          <xdr:cNvSpPr/>
        </xdr:nvSpPr>
        <xdr:spPr>
          <a:xfrm>
            <a:off x="3384950"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7" name="58 Rectángulo redondeado">
            <a:extLst>
              <a:ext uri="{FF2B5EF4-FFF2-40B4-BE49-F238E27FC236}">
                <a16:creationId xmlns:a16="http://schemas.microsoft.com/office/drawing/2014/main" id="{00000000-0008-0000-0400-000025000000}"/>
              </a:ext>
            </a:extLst>
          </xdr:cNvPr>
          <xdr:cNvSpPr/>
        </xdr:nvSpPr>
        <xdr:spPr>
          <a:xfrm>
            <a:off x="1744863"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8" name="62 Rectángulo redondeado">
            <a:hlinkClick xmlns:r="http://schemas.openxmlformats.org/officeDocument/2006/relationships" r:id="rId4"/>
            <a:extLst>
              <a:ext uri="{FF2B5EF4-FFF2-40B4-BE49-F238E27FC236}">
                <a16:creationId xmlns:a16="http://schemas.microsoft.com/office/drawing/2014/main" id="{00000000-0008-0000-0400-000026000000}"/>
              </a:ext>
            </a:extLst>
          </xdr:cNvPr>
          <xdr:cNvSpPr/>
        </xdr:nvSpPr>
        <xdr:spPr>
          <a:xfrm>
            <a:off x="1836090"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39" name="66 Rectángulo redondeado">
            <a:hlinkClick xmlns:r="http://schemas.openxmlformats.org/officeDocument/2006/relationships" r:id="rId5"/>
            <a:extLst>
              <a:ext uri="{FF2B5EF4-FFF2-40B4-BE49-F238E27FC236}">
                <a16:creationId xmlns:a16="http://schemas.microsoft.com/office/drawing/2014/main" id="{00000000-0008-0000-0400-000027000000}"/>
              </a:ext>
            </a:extLst>
          </xdr:cNvPr>
          <xdr:cNvSpPr/>
        </xdr:nvSpPr>
        <xdr:spPr>
          <a:xfrm>
            <a:off x="3491345"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40" name="33 Rectángulo redondeado">
            <a:hlinkClick xmlns:r="http://schemas.openxmlformats.org/officeDocument/2006/relationships" r:id="rId6"/>
            <a:extLst>
              <a:ext uri="{FF2B5EF4-FFF2-40B4-BE49-F238E27FC236}">
                <a16:creationId xmlns:a16="http://schemas.microsoft.com/office/drawing/2014/main" id="{00000000-0008-0000-0400-000028000000}"/>
              </a:ext>
            </a:extLst>
          </xdr:cNvPr>
          <xdr:cNvSpPr>
            <a:spLocks/>
          </xdr:cNvSpPr>
        </xdr:nvSpPr>
        <xdr:spPr>
          <a:xfrm>
            <a:off x="2799886" y="1177362"/>
            <a:ext cx="1122274"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42" name="34 Rectángulo redondeado">
            <a:hlinkClick xmlns:r="http://schemas.openxmlformats.org/officeDocument/2006/relationships" r:id="rId7"/>
            <a:extLst>
              <a:ext uri="{FF2B5EF4-FFF2-40B4-BE49-F238E27FC236}">
                <a16:creationId xmlns:a16="http://schemas.microsoft.com/office/drawing/2014/main" id="{00000000-0008-0000-0400-00002A000000}"/>
              </a:ext>
            </a:extLst>
          </xdr:cNvPr>
          <xdr:cNvSpPr>
            <a:spLocks/>
          </xdr:cNvSpPr>
        </xdr:nvSpPr>
        <xdr:spPr>
          <a:xfrm>
            <a:off x="3966389" y="1177362"/>
            <a:ext cx="112591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43" name="38 Rectángulo redondeado">
            <a:hlinkClick xmlns:r="http://schemas.openxmlformats.org/officeDocument/2006/relationships" r:id="rId8"/>
            <a:extLst>
              <a:ext uri="{FF2B5EF4-FFF2-40B4-BE49-F238E27FC236}">
                <a16:creationId xmlns:a16="http://schemas.microsoft.com/office/drawing/2014/main" id="{00000000-0008-0000-0400-00002B000000}"/>
              </a:ext>
            </a:extLst>
          </xdr:cNvPr>
          <xdr:cNvSpPr>
            <a:spLocks/>
          </xdr:cNvSpPr>
        </xdr:nvSpPr>
        <xdr:spPr>
          <a:xfrm>
            <a:off x="5165110" y="1177362"/>
            <a:ext cx="130130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44" name="39 Rectángulo redondeado">
            <a:hlinkClick xmlns:r="http://schemas.openxmlformats.org/officeDocument/2006/relationships" r:id="rId9"/>
            <a:extLst>
              <a:ext uri="{FF2B5EF4-FFF2-40B4-BE49-F238E27FC236}">
                <a16:creationId xmlns:a16="http://schemas.microsoft.com/office/drawing/2014/main" id="{00000000-0008-0000-0400-00002C000000}"/>
              </a:ext>
            </a:extLst>
          </xdr:cNvPr>
          <xdr:cNvSpPr>
            <a:spLocks/>
          </xdr:cNvSpPr>
        </xdr:nvSpPr>
        <xdr:spPr>
          <a:xfrm>
            <a:off x="6529696" y="1177362"/>
            <a:ext cx="1219660"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49" name="32 Rectángulo redondeado">
            <a:hlinkClick xmlns:r="http://schemas.openxmlformats.org/officeDocument/2006/relationships" r:id="rId10"/>
            <a:extLst>
              <a:ext uri="{FF2B5EF4-FFF2-40B4-BE49-F238E27FC236}">
                <a16:creationId xmlns:a16="http://schemas.microsoft.com/office/drawing/2014/main" id="{00000000-0008-0000-0400-000031000000}"/>
              </a:ext>
            </a:extLst>
          </xdr:cNvPr>
          <xdr:cNvSpPr>
            <a:spLocks/>
          </xdr:cNvSpPr>
        </xdr:nvSpPr>
        <xdr:spPr>
          <a:xfrm>
            <a:off x="4519328" y="129612"/>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sp macro="" textlink="">
        <xdr:nvSpPr>
          <xdr:cNvPr id="57" name="32 Rectángulo redondeado">
            <a:hlinkClick xmlns:r="http://schemas.openxmlformats.org/officeDocument/2006/relationships" r:id="rId11"/>
            <a:extLst>
              <a:ext uri="{FF2B5EF4-FFF2-40B4-BE49-F238E27FC236}">
                <a16:creationId xmlns:a16="http://schemas.microsoft.com/office/drawing/2014/main" id="{00000000-0008-0000-0400-000039000000}"/>
              </a:ext>
            </a:extLst>
          </xdr:cNvPr>
          <xdr:cNvSpPr>
            <a:spLocks/>
          </xdr:cNvSpPr>
        </xdr:nvSpPr>
        <xdr:spPr>
          <a:xfrm>
            <a:off x="142356" y="1177362"/>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58" name="33 Rectángulo redondeado">
            <a:hlinkClick xmlns:r="http://schemas.openxmlformats.org/officeDocument/2006/relationships" r:id="rId12"/>
            <a:extLst>
              <a:ext uri="{FF2B5EF4-FFF2-40B4-BE49-F238E27FC236}">
                <a16:creationId xmlns:a16="http://schemas.microsoft.com/office/drawing/2014/main" id="{00000000-0008-0000-0400-00003A000000}"/>
              </a:ext>
            </a:extLst>
          </xdr:cNvPr>
          <xdr:cNvSpPr>
            <a:spLocks/>
          </xdr:cNvSpPr>
        </xdr:nvSpPr>
        <xdr:spPr>
          <a:xfrm>
            <a:off x="1548155" y="1177362"/>
            <a:ext cx="1197976"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xdr:from>
      <xdr:col>2</xdr:col>
      <xdr:colOff>38100</xdr:colOff>
      <xdr:row>12</xdr:row>
      <xdr:rowOff>171451</xdr:rowOff>
    </xdr:from>
    <xdr:to>
      <xdr:col>2</xdr:col>
      <xdr:colOff>1771650</xdr:colOff>
      <xdr:row>15</xdr:row>
      <xdr:rowOff>47625</xdr:rowOff>
    </xdr:to>
    <xdr:sp macro="" textlink="">
      <xdr:nvSpPr>
        <xdr:cNvPr id="2" name="Rectangle 1">
          <a:hlinkClick xmlns:r="http://schemas.openxmlformats.org/officeDocument/2006/relationships" r:id="rId2"/>
          <a:extLst>
            <a:ext uri="{FF2B5EF4-FFF2-40B4-BE49-F238E27FC236}">
              <a16:creationId xmlns:a16="http://schemas.microsoft.com/office/drawing/2014/main" id="{00000000-0008-0000-0400-000002000000}"/>
            </a:ext>
          </a:extLst>
        </xdr:cNvPr>
        <xdr:cNvSpPr/>
      </xdr:nvSpPr>
      <xdr:spPr>
        <a:xfrm>
          <a:off x="2800350" y="2914651"/>
          <a:ext cx="1733550" cy="447674"/>
        </a:xfrm>
        <a:prstGeom prst="rect">
          <a:avLst/>
        </a:prstGeom>
        <a:ln cmpd="sng"/>
        <a:effectLst>
          <a:glow rad="228600">
            <a:schemeClr val="tx1">
              <a:alpha val="40000"/>
            </a:schemeClr>
          </a:glow>
          <a:outerShdw blurRad="50800" dist="38100" dir="2700000" algn="tl" rotWithShape="0">
            <a:prstClr val="black">
              <a:alpha val="40000"/>
            </a:prstClr>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u="sng"/>
            <a:t>Click here </a:t>
          </a:r>
          <a:r>
            <a:rPr lang="en-US" sz="1100" u="sng" baseline="0"/>
            <a:t>for wood </a:t>
          </a:r>
          <a:br>
            <a:rPr lang="en-US" sz="1100" u="sng" baseline="0"/>
          </a:br>
          <a:r>
            <a:rPr lang="en-US" sz="1100" u="sng" baseline="0"/>
            <a:t>density values</a:t>
          </a:r>
          <a:endParaRPr lang="en-US" sz="1200" u="sng"/>
        </a:p>
      </xdr:txBody>
    </xdr:sp>
    <xdr:clientData/>
  </xdr:twoCellAnchor>
  <xdr:twoCellAnchor>
    <xdr:from>
      <xdr:col>4</xdr:col>
      <xdr:colOff>0</xdr:colOff>
      <xdr:row>13</xdr:row>
      <xdr:rowOff>9525</xdr:rowOff>
    </xdr:from>
    <xdr:to>
      <xdr:col>5</xdr:col>
      <xdr:colOff>0</xdr:colOff>
      <xdr:row>15</xdr:row>
      <xdr:rowOff>85725</xdr:rowOff>
    </xdr:to>
    <xdr:sp macro="" textlink="">
      <xdr:nvSpPr>
        <xdr:cNvPr id="3" name="Rectangle 2">
          <a:hlinkClick xmlns:r="http://schemas.openxmlformats.org/officeDocument/2006/relationships" r:id="rId13"/>
          <a:extLst>
            <a:ext uri="{FF2B5EF4-FFF2-40B4-BE49-F238E27FC236}">
              <a16:creationId xmlns:a16="http://schemas.microsoft.com/office/drawing/2014/main" id="{00000000-0008-0000-0400-000003000000}"/>
            </a:ext>
          </a:extLst>
        </xdr:cNvPr>
        <xdr:cNvSpPr/>
      </xdr:nvSpPr>
      <xdr:spPr>
        <a:xfrm>
          <a:off x="6429375" y="2943225"/>
          <a:ext cx="1647825" cy="457200"/>
        </a:xfrm>
        <a:prstGeom prst="rect">
          <a:avLst/>
        </a:prstGeom>
        <a:effectLst>
          <a:glow rad="228600">
            <a:schemeClr val="tx1">
              <a:alpha val="40000"/>
            </a:schemeClr>
          </a:glo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100" u="sng"/>
            <a:t>Click here </a:t>
          </a:r>
          <a:r>
            <a:rPr lang="en-US" sz="1100" u="sng" baseline="0"/>
            <a:t>for </a:t>
          </a:r>
          <a:br>
            <a:rPr lang="en-US" sz="1100" u="sng" baseline="0"/>
          </a:br>
          <a:r>
            <a:rPr lang="en-US" sz="1100" u="sng" baseline="0"/>
            <a:t>BEF values</a:t>
          </a:r>
          <a:endParaRPr lang="en-US" sz="1100" u="sng"/>
        </a:p>
      </xdr:txBody>
    </xdr:sp>
    <xdr:clientData/>
  </xdr:twoCellAnchor>
  <xdr:twoCellAnchor editAs="oneCell">
    <xdr:from>
      <xdr:col>4</xdr:col>
      <xdr:colOff>419100</xdr:colOff>
      <xdr:row>0</xdr:row>
      <xdr:rowOff>19050</xdr:rowOff>
    </xdr:from>
    <xdr:to>
      <xdr:col>4</xdr:col>
      <xdr:colOff>923925</xdr:colOff>
      <xdr:row>0</xdr:row>
      <xdr:rowOff>523875</xdr:rowOff>
    </xdr:to>
    <xdr:pic>
      <xdr:nvPicPr>
        <xdr:cNvPr id="24" name="Picture 23">
          <a:extLst>
            <a:ext uri="{FF2B5EF4-FFF2-40B4-BE49-F238E27FC236}">
              <a16:creationId xmlns:a16="http://schemas.microsoft.com/office/drawing/2014/main" id="{00000000-0008-0000-0400-000018000000}"/>
            </a:ext>
          </a:extLst>
        </xdr:cNvPr>
        <xdr:cNvPicPr>
          <a:picLocks noChangeAspect="1" noChangeArrowheads="1"/>
        </xdr:cNvPicPr>
      </xdr:nvPicPr>
      <xdr:blipFill>
        <a:blip xmlns:r="http://schemas.openxmlformats.org/officeDocument/2006/relationships" r:embed="rId14" cstate="email">
          <a:extLst>
            <a:ext uri="{28A0092B-C50C-407E-A947-70E740481C1C}">
              <a14:useLocalDpi xmlns:a14="http://schemas.microsoft.com/office/drawing/2010/main"/>
            </a:ext>
          </a:extLst>
        </a:blip>
        <a:srcRect/>
        <a:stretch>
          <a:fillRect/>
        </a:stretch>
      </xdr:blipFill>
      <xdr:spPr bwMode="auto">
        <a:xfrm>
          <a:off x="6848475" y="19050"/>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332962</xdr:colOff>
      <xdr:row>2</xdr:row>
      <xdr:rowOff>52177</xdr:rowOff>
    </xdr:from>
    <xdr:to>
      <xdr:col>11</xdr:col>
      <xdr:colOff>723900</xdr:colOff>
      <xdr:row>13</xdr:row>
      <xdr:rowOff>47625</xdr:rowOff>
    </xdr:to>
    <xdr:sp macro="" textlink="">
      <xdr:nvSpPr>
        <xdr:cNvPr id="22" name="Rounded Rectangle 21">
          <a:extLst>
            <a:ext uri="{FF2B5EF4-FFF2-40B4-BE49-F238E27FC236}">
              <a16:creationId xmlns:a16="http://schemas.microsoft.com/office/drawing/2014/main" id="{00000000-0008-0000-0500-000016000000}"/>
            </a:ext>
          </a:extLst>
        </xdr:cNvPr>
        <xdr:cNvSpPr/>
      </xdr:nvSpPr>
      <xdr:spPr>
        <a:xfrm>
          <a:off x="332962" y="1757152"/>
          <a:ext cx="8534813" cy="2033798"/>
        </a:xfrm>
        <a:prstGeom prst="roundRect">
          <a:avLst/>
        </a:prstGeom>
        <a:ln w="9525">
          <a:solidFill>
            <a:schemeClr val="accent1"/>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400" b="1" baseline="0">
              <a:solidFill>
                <a:sysClr val="windowText" lastClr="000000"/>
              </a:solidFill>
            </a:rPr>
            <a:t>Define the different strata you would like to analyse </a:t>
          </a:r>
        </a:p>
        <a:p>
          <a:pPr marL="285750" indent="-285750" algn="l">
            <a:buFont typeface="Arial" panose="020B0604020202020204" pitchFamily="34" charset="0"/>
            <a:buChar char="•"/>
          </a:pPr>
          <a:r>
            <a:rPr lang="en-US" sz="1400" b="0" i="0" u="none" strike="noStrike" baseline="0">
              <a:solidFill>
                <a:sysClr val="windowText" lastClr="000000"/>
              </a:solidFill>
              <a:effectLst/>
              <a:latin typeface="+mn-lt"/>
              <a:ea typeface="+mn-ea"/>
              <a:cs typeface="+mn-cs"/>
            </a:rPr>
            <a:t>In each row of the table below, enter a stratum that represents a unique biophysical characteristic within your project area. Stratification should help you organize your data into different categories. Additionally, for each stratum there should be an associated tree species (from the </a:t>
          </a:r>
          <a:r>
            <a:rPr lang="en-US" sz="1400" b="1" i="0" u="none" strike="noStrike" baseline="0">
              <a:solidFill>
                <a:sysClr val="windowText" lastClr="000000"/>
              </a:solidFill>
              <a:effectLst/>
              <a:latin typeface="+mn-lt"/>
              <a:ea typeface="+mn-ea"/>
              <a:cs typeface="+mn-cs"/>
            </a:rPr>
            <a:t>Species</a:t>
          </a:r>
          <a:r>
            <a:rPr lang="en-US" sz="1400" b="0" i="0" u="none" strike="noStrike" baseline="0">
              <a:solidFill>
                <a:sysClr val="windowText" lastClr="000000"/>
              </a:solidFill>
              <a:effectLst/>
              <a:latin typeface="+mn-lt"/>
              <a:ea typeface="+mn-ea"/>
              <a:cs typeface="+mn-cs"/>
            </a:rPr>
            <a:t> tab), which will also help define how the forest management unit (FMU) is stratified. These data will be used within the results generated by this tool.</a:t>
          </a:r>
        </a:p>
        <a:p>
          <a:pPr marL="285750" indent="-285750" algn="l">
            <a:buFont typeface="Arial" panose="020B0604020202020204" pitchFamily="34" charset="0"/>
            <a:buChar char="•"/>
          </a:pPr>
          <a:r>
            <a:rPr lang="en-US" sz="1400" b="0" i="0" u="none" strike="noStrike" baseline="0">
              <a:solidFill>
                <a:sysClr val="windowText" lastClr="000000"/>
              </a:solidFill>
              <a:effectLst/>
              <a:latin typeface="+mn-lt"/>
              <a:ea typeface="+mn-ea"/>
              <a:cs typeface="+mn-cs"/>
            </a:rPr>
            <a:t>The total area of all strata entered here should correspond to your total project area entered under </a:t>
          </a:r>
          <a:r>
            <a:rPr lang="en-US" sz="1400" b="1" i="0" u="none" strike="noStrike" baseline="0">
              <a:solidFill>
                <a:sysClr val="windowText" lastClr="000000"/>
              </a:solidFill>
              <a:effectLst/>
              <a:latin typeface="+mn-lt"/>
              <a:ea typeface="+mn-ea"/>
              <a:cs typeface="+mn-cs"/>
            </a:rPr>
            <a:t>Background data</a:t>
          </a:r>
          <a:r>
            <a:rPr lang="en-US" sz="1400" b="0" i="0" u="none" strike="noStrike" baseline="0">
              <a:solidFill>
                <a:sysClr val="windowText" lastClr="000000"/>
              </a:solidFill>
              <a:effectLst/>
              <a:latin typeface="+mn-lt"/>
              <a:ea typeface="+mn-ea"/>
              <a:cs typeface="+mn-cs"/>
            </a:rPr>
            <a:t>.</a:t>
          </a:r>
          <a:endParaRPr lang="en-US" sz="1400" b="0" baseline="0">
            <a:solidFill>
              <a:sysClr val="windowText" lastClr="000000"/>
            </a:solidFill>
          </a:endParaRPr>
        </a:p>
      </xdr:txBody>
    </xdr:sp>
    <xdr:clientData/>
  </xdr:twoCellAnchor>
  <xdr:twoCellAnchor editAs="absolute">
    <xdr:from>
      <xdr:col>4</xdr:col>
      <xdr:colOff>395377</xdr:colOff>
      <xdr:row>0</xdr:row>
      <xdr:rowOff>733425</xdr:rowOff>
    </xdr:from>
    <xdr:to>
      <xdr:col>9</xdr:col>
      <xdr:colOff>155455</xdr:colOff>
      <xdr:row>0</xdr:row>
      <xdr:rowOff>1000125</xdr:rowOff>
    </xdr:to>
    <xdr:sp macro="[0]!delete_rows" textlink="">
      <xdr:nvSpPr>
        <xdr:cNvPr id="23" name="Rounded Rectangle 22">
          <a:extLst>
            <a:ext uri="{FF2B5EF4-FFF2-40B4-BE49-F238E27FC236}">
              <a16:creationId xmlns:a16="http://schemas.microsoft.com/office/drawing/2014/main" id="{00000000-0008-0000-0500-000017000000}"/>
            </a:ext>
          </a:extLst>
        </xdr:cNvPr>
        <xdr:cNvSpPr/>
      </xdr:nvSpPr>
      <xdr:spPr>
        <a:xfrm>
          <a:off x="5067300" y="733425"/>
          <a:ext cx="1704975" cy="266700"/>
        </a:xfrm>
        <a:prstGeom prst="roundRect">
          <a:avLst/>
        </a:prstGeom>
        <a:ln>
          <a:noFill/>
        </a:ln>
        <a:scene3d>
          <a:camera prst="orthographicFront"/>
          <a:lightRig rig="threePt" dir="t"/>
        </a:scene3d>
        <a:sp3d prstMaterial="dkEdge">
          <a:bevelT/>
          <a:bevelB/>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IN" sz="1100"/>
            <a:t>Delete selected Strata</a:t>
          </a:r>
        </a:p>
      </xdr:txBody>
    </xdr:sp>
    <xdr:clientData/>
  </xdr:twoCellAnchor>
  <xdr:twoCellAnchor>
    <xdr:from>
      <xdr:col>0</xdr:col>
      <xdr:colOff>0</xdr:colOff>
      <xdr:row>0</xdr:row>
      <xdr:rowOff>28575</xdr:rowOff>
    </xdr:from>
    <xdr:to>
      <xdr:col>10</xdr:col>
      <xdr:colOff>148679</xdr:colOff>
      <xdr:row>0</xdr:row>
      <xdr:rowOff>1419837</xdr:rowOff>
    </xdr:to>
    <xdr:grpSp>
      <xdr:nvGrpSpPr>
        <xdr:cNvPr id="24" name="Group 23">
          <a:extLst>
            <a:ext uri="{FF2B5EF4-FFF2-40B4-BE49-F238E27FC236}">
              <a16:creationId xmlns:a16="http://schemas.microsoft.com/office/drawing/2014/main" id="{00000000-0008-0000-0500-000018000000}"/>
            </a:ext>
          </a:extLst>
        </xdr:cNvPr>
        <xdr:cNvGrpSpPr/>
      </xdr:nvGrpSpPr>
      <xdr:grpSpPr>
        <a:xfrm>
          <a:off x="0" y="28575"/>
          <a:ext cx="7521029" cy="1391262"/>
          <a:chOff x="57150" y="28575"/>
          <a:chExt cx="7668017" cy="1391262"/>
        </a:xfrm>
      </xdr:grpSpPr>
      <xdr:sp macro="" textlink="">
        <xdr:nvSpPr>
          <xdr:cNvPr id="25" name="57 Proceso alternativo">
            <a:extLst>
              <a:ext uri="{FF2B5EF4-FFF2-40B4-BE49-F238E27FC236}">
                <a16:creationId xmlns:a16="http://schemas.microsoft.com/office/drawing/2014/main" id="{00000000-0008-0000-0500-000019000000}"/>
              </a:ext>
            </a:extLst>
          </xdr:cNvPr>
          <xdr:cNvSpPr/>
        </xdr:nvSpPr>
        <xdr:spPr>
          <a:xfrm>
            <a:off x="57150" y="83937"/>
            <a:ext cx="3029880"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6" name="58 Rectángulo redondeado">
            <a:extLst>
              <a:ext uri="{FF2B5EF4-FFF2-40B4-BE49-F238E27FC236}">
                <a16:creationId xmlns:a16="http://schemas.microsoft.com/office/drawing/2014/main" id="{00000000-0008-0000-0500-00001A000000}"/>
              </a:ext>
            </a:extLst>
          </xdr:cNvPr>
          <xdr:cNvSpPr/>
        </xdr:nvSpPr>
        <xdr:spPr>
          <a:xfrm>
            <a:off x="104775" y="591143"/>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27" name="60 Rectángulo redondeado">
            <a:hlinkClick xmlns:r="http://schemas.openxmlformats.org/officeDocument/2006/relationships" r:id="rId1"/>
            <a:extLst>
              <a:ext uri="{FF2B5EF4-FFF2-40B4-BE49-F238E27FC236}">
                <a16:creationId xmlns:a16="http://schemas.microsoft.com/office/drawing/2014/main" id="{00000000-0008-0000-0500-00001B000000}"/>
              </a:ext>
            </a:extLst>
          </xdr:cNvPr>
          <xdr:cNvSpPr/>
        </xdr:nvSpPr>
        <xdr:spPr>
          <a:xfrm>
            <a:off x="170263" y="678669"/>
            <a:ext cx="1439179"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28" name="68 Rectángulo redondeado">
            <a:hlinkClick xmlns:r="http://schemas.openxmlformats.org/officeDocument/2006/relationships" r:id="rId2"/>
            <a:extLst>
              <a:ext uri="{FF2B5EF4-FFF2-40B4-BE49-F238E27FC236}">
                <a16:creationId xmlns:a16="http://schemas.microsoft.com/office/drawing/2014/main" id="{00000000-0008-0000-0500-00001C000000}"/>
              </a:ext>
            </a:extLst>
          </xdr:cNvPr>
          <xdr:cNvSpPr/>
        </xdr:nvSpPr>
        <xdr:spPr>
          <a:xfrm>
            <a:off x="3136553" y="130319"/>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29" name="Picture 1">
            <a:extLst>
              <a:ext uri="{FF2B5EF4-FFF2-40B4-BE49-F238E27FC236}">
                <a16:creationId xmlns:a16="http://schemas.microsoft.com/office/drawing/2014/main" id="{00000000-0008-0000-0500-00001D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6136707" y="28575"/>
            <a:ext cx="857250" cy="505125"/>
          </a:xfrm>
          <a:prstGeom prst="rect">
            <a:avLst/>
          </a:prstGeom>
          <a:noFill/>
          <a:ln w="1">
            <a:noFill/>
            <a:miter lim="800000"/>
            <a:headEnd/>
            <a:tailEnd type="none" w="med" len="med"/>
          </a:ln>
          <a:effectLst/>
        </xdr:spPr>
      </xdr:pic>
      <xdr:sp macro="" textlink="">
        <xdr:nvSpPr>
          <xdr:cNvPr id="33" name="58 Rectángulo redondeado">
            <a:extLst>
              <a:ext uri="{FF2B5EF4-FFF2-40B4-BE49-F238E27FC236}">
                <a16:creationId xmlns:a16="http://schemas.microsoft.com/office/drawing/2014/main" id="{00000000-0008-0000-0500-000021000000}"/>
              </a:ext>
            </a:extLst>
          </xdr:cNvPr>
          <xdr:cNvSpPr/>
        </xdr:nvSpPr>
        <xdr:spPr>
          <a:xfrm>
            <a:off x="3384950"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7" name="58 Rectángulo redondeado">
            <a:extLst>
              <a:ext uri="{FF2B5EF4-FFF2-40B4-BE49-F238E27FC236}">
                <a16:creationId xmlns:a16="http://schemas.microsoft.com/office/drawing/2014/main" id="{00000000-0008-0000-0500-000025000000}"/>
              </a:ext>
            </a:extLst>
          </xdr:cNvPr>
          <xdr:cNvSpPr/>
        </xdr:nvSpPr>
        <xdr:spPr>
          <a:xfrm>
            <a:off x="1744863"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5" name="62 Rectángulo redondeado">
            <a:hlinkClick xmlns:r="http://schemas.openxmlformats.org/officeDocument/2006/relationships" r:id="rId4"/>
            <a:extLst>
              <a:ext uri="{FF2B5EF4-FFF2-40B4-BE49-F238E27FC236}">
                <a16:creationId xmlns:a16="http://schemas.microsoft.com/office/drawing/2014/main" id="{00000000-0008-0000-0500-00002D000000}"/>
              </a:ext>
            </a:extLst>
          </xdr:cNvPr>
          <xdr:cNvSpPr/>
        </xdr:nvSpPr>
        <xdr:spPr>
          <a:xfrm>
            <a:off x="1836090"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50" name="66 Rectángulo redondeado">
            <a:hlinkClick xmlns:r="http://schemas.openxmlformats.org/officeDocument/2006/relationships" r:id="rId5"/>
            <a:extLst>
              <a:ext uri="{FF2B5EF4-FFF2-40B4-BE49-F238E27FC236}">
                <a16:creationId xmlns:a16="http://schemas.microsoft.com/office/drawing/2014/main" id="{00000000-0008-0000-0500-000032000000}"/>
              </a:ext>
            </a:extLst>
          </xdr:cNvPr>
          <xdr:cNvSpPr/>
        </xdr:nvSpPr>
        <xdr:spPr>
          <a:xfrm>
            <a:off x="3491345"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51" name="33 Rectángulo redondeado">
            <a:hlinkClick xmlns:r="http://schemas.openxmlformats.org/officeDocument/2006/relationships" r:id="rId6"/>
            <a:extLst>
              <a:ext uri="{FF2B5EF4-FFF2-40B4-BE49-F238E27FC236}">
                <a16:creationId xmlns:a16="http://schemas.microsoft.com/office/drawing/2014/main" id="{00000000-0008-0000-0500-000033000000}"/>
              </a:ext>
            </a:extLst>
          </xdr:cNvPr>
          <xdr:cNvSpPr>
            <a:spLocks/>
          </xdr:cNvSpPr>
        </xdr:nvSpPr>
        <xdr:spPr>
          <a:xfrm>
            <a:off x="2793480" y="1167837"/>
            <a:ext cx="112227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52" name="34 Rectángulo redondeado">
            <a:hlinkClick xmlns:r="http://schemas.openxmlformats.org/officeDocument/2006/relationships" r:id="rId7"/>
            <a:extLst>
              <a:ext uri="{FF2B5EF4-FFF2-40B4-BE49-F238E27FC236}">
                <a16:creationId xmlns:a16="http://schemas.microsoft.com/office/drawing/2014/main" id="{00000000-0008-0000-0500-000034000000}"/>
              </a:ext>
            </a:extLst>
          </xdr:cNvPr>
          <xdr:cNvSpPr>
            <a:spLocks/>
          </xdr:cNvSpPr>
        </xdr:nvSpPr>
        <xdr:spPr>
          <a:xfrm>
            <a:off x="3979882" y="1167837"/>
            <a:ext cx="1125913"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53" name="38 Rectángulo redondeado">
            <a:hlinkClick xmlns:r="http://schemas.openxmlformats.org/officeDocument/2006/relationships" r:id="rId8"/>
            <a:extLst>
              <a:ext uri="{FF2B5EF4-FFF2-40B4-BE49-F238E27FC236}">
                <a16:creationId xmlns:a16="http://schemas.microsoft.com/office/drawing/2014/main" id="{00000000-0008-0000-0500-000035000000}"/>
              </a:ext>
            </a:extLst>
          </xdr:cNvPr>
          <xdr:cNvSpPr>
            <a:spLocks/>
          </xdr:cNvSpPr>
        </xdr:nvSpPr>
        <xdr:spPr>
          <a:xfrm>
            <a:off x="5159974" y="1167837"/>
            <a:ext cx="130130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54" name="39 Rectángulo redondeado">
            <a:hlinkClick xmlns:r="http://schemas.openxmlformats.org/officeDocument/2006/relationships" r:id="rId9"/>
            <a:extLst>
              <a:ext uri="{FF2B5EF4-FFF2-40B4-BE49-F238E27FC236}">
                <a16:creationId xmlns:a16="http://schemas.microsoft.com/office/drawing/2014/main" id="{00000000-0008-0000-0500-000036000000}"/>
              </a:ext>
            </a:extLst>
          </xdr:cNvPr>
          <xdr:cNvSpPr>
            <a:spLocks/>
          </xdr:cNvSpPr>
        </xdr:nvSpPr>
        <xdr:spPr>
          <a:xfrm>
            <a:off x="6505507" y="1167837"/>
            <a:ext cx="1219660"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55" name="32 Rectángulo redondeado">
            <a:hlinkClick xmlns:r="http://schemas.openxmlformats.org/officeDocument/2006/relationships" r:id="rId10"/>
            <a:extLst>
              <a:ext uri="{FF2B5EF4-FFF2-40B4-BE49-F238E27FC236}">
                <a16:creationId xmlns:a16="http://schemas.microsoft.com/office/drawing/2014/main" id="{00000000-0008-0000-0500-000037000000}"/>
              </a:ext>
            </a:extLst>
          </xdr:cNvPr>
          <xdr:cNvSpPr>
            <a:spLocks/>
          </xdr:cNvSpPr>
        </xdr:nvSpPr>
        <xdr:spPr>
          <a:xfrm>
            <a:off x="4598878" y="139137"/>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sp macro="" textlink="">
        <xdr:nvSpPr>
          <xdr:cNvPr id="56" name="32 Rectángulo redondeado">
            <a:hlinkClick xmlns:r="http://schemas.openxmlformats.org/officeDocument/2006/relationships" r:id="rId11"/>
            <a:extLst>
              <a:ext uri="{FF2B5EF4-FFF2-40B4-BE49-F238E27FC236}">
                <a16:creationId xmlns:a16="http://schemas.microsoft.com/office/drawing/2014/main" id="{00000000-0008-0000-0500-000038000000}"/>
              </a:ext>
            </a:extLst>
          </xdr:cNvPr>
          <xdr:cNvSpPr>
            <a:spLocks/>
          </xdr:cNvSpPr>
        </xdr:nvSpPr>
        <xdr:spPr>
          <a:xfrm>
            <a:off x="144628" y="1167837"/>
            <a:ext cx="134251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57" name="33 Rectángulo redondeado">
            <a:hlinkClick xmlns:r="http://schemas.openxmlformats.org/officeDocument/2006/relationships" r:id="rId12"/>
            <a:extLst>
              <a:ext uri="{FF2B5EF4-FFF2-40B4-BE49-F238E27FC236}">
                <a16:creationId xmlns:a16="http://schemas.microsoft.com/office/drawing/2014/main" id="{00000000-0008-0000-0500-000039000000}"/>
              </a:ext>
            </a:extLst>
          </xdr:cNvPr>
          <xdr:cNvSpPr>
            <a:spLocks/>
          </xdr:cNvSpPr>
        </xdr:nvSpPr>
        <xdr:spPr>
          <a:xfrm>
            <a:off x="1551275" y="1167837"/>
            <a:ext cx="1197976"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editAs="oneCell">
    <xdr:from>
      <xdr:col>9</xdr:col>
      <xdr:colOff>247650</xdr:colOff>
      <xdr:row>0</xdr:row>
      <xdr:rowOff>19050</xdr:rowOff>
    </xdr:from>
    <xdr:to>
      <xdr:col>9</xdr:col>
      <xdr:colOff>752475</xdr:colOff>
      <xdr:row>0</xdr:row>
      <xdr:rowOff>523875</xdr:rowOff>
    </xdr:to>
    <xdr:pic>
      <xdr:nvPicPr>
        <xdr:cNvPr id="31" name="Picture 30">
          <a:extLst>
            <a:ext uri="{FF2B5EF4-FFF2-40B4-BE49-F238E27FC236}">
              <a16:creationId xmlns:a16="http://schemas.microsoft.com/office/drawing/2014/main" id="{00000000-0008-0000-0500-00001F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6867525" y="19050"/>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116632</xdr:colOff>
      <xdr:row>3</xdr:row>
      <xdr:rowOff>46266</xdr:rowOff>
    </xdr:from>
    <xdr:to>
      <xdr:col>9</xdr:col>
      <xdr:colOff>476250</xdr:colOff>
      <xdr:row>13</xdr:row>
      <xdr:rowOff>106913</xdr:rowOff>
    </xdr:to>
    <xdr:sp macro="" textlink="">
      <xdr:nvSpPr>
        <xdr:cNvPr id="21" name="Rounded Rectangle 20">
          <a:extLst>
            <a:ext uri="{FF2B5EF4-FFF2-40B4-BE49-F238E27FC236}">
              <a16:creationId xmlns:a16="http://schemas.microsoft.com/office/drawing/2014/main" id="{00000000-0008-0000-0600-000015000000}"/>
            </a:ext>
          </a:extLst>
        </xdr:cNvPr>
        <xdr:cNvSpPr/>
      </xdr:nvSpPr>
      <xdr:spPr>
        <a:xfrm>
          <a:off x="116632" y="2067899"/>
          <a:ext cx="10720485" cy="2033682"/>
        </a:xfrm>
        <a:prstGeom prst="roundRect">
          <a:avLst/>
        </a:prstGeom>
        <a:ln w="9525">
          <a:solidFill>
            <a:schemeClr val="accent1"/>
          </a:solidFill>
        </a:ln>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400" b="1" baseline="0">
              <a:solidFill>
                <a:sysClr val="windowText" lastClr="000000"/>
              </a:solidFill>
            </a:rPr>
            <a:t>Assess greenhouse gas emissions from forest management </a:t>
          </a:r>
        </a:p>
        <a:p>
          <a:pPr marL="285750" indent="-285750" algn="l">
            <a:buFont typeface="Arial" panose="020B0604020202020204" pitchFamily="34" charset="0"/>
            <a:buChar char="•"/>
          </a:pPr>
          <a:r>
            <a:rPr lang="en-US" sz="1400" b="0" baseline="0">
              <a:solidFill>
                <a:sysClr val="windowText" lastClr="000000"/>
              </a:solidFill>
            </a:rPr>
            <a:t>Here you can analyse GHG emissions within your project area from the burning of fossil fuels and fertilizer applications. Enter the total annual consumption of diesel and gasoline within the project area.</a:t>
          </a:r>
        </a:p>
        <a:p>
          <a:pPr marL="285750" indent="-285750" algn="l">
            <a:buFont typeface="Arial" panose="020B0604020202020204" pitchFamily="34" charset="0"/>
            <a:buChar char="•"/>
          </a:pPr>
          <a:r>
            <a:rPr lang="en-US" sz="1400" b="0" baseline="0">
              <a:solidFill>
                <a:sysClr val="windowText" lastClr="000000"/>
              </a:solidFill>
            </a:rPr>
            <a:t>If you apply fertilizers within your project area, select </a:t>
          </a:r>
          <a:r>
            <a:rPr lang="en-US" sz="1400" b="1" baseline="0">
              <a:solidFill>
                <a:sysClr val="windowText" lastClr="000000"/>
              </a:solidFill>
            </a:rPr>
            <a:t>Yes</a:t>
          </a:r>
          <a:r>
            <a:rPr lang="en-US" sz="1400" b="0" baseline="0">
              <a:solidFill>
                <a:sysClr val="windowText" lastClr="000000"/>
              </a:solidFill>
            </a:rPr>
            <a:t> from the dropdown menu, then fill in the highlighted table under the column headings (click on the blank space under each column heading and a down arrow will appear, indicating a dropdown menu). Only select the strata where fertilizers are applied. The GHG emissions from synthetic and/or organic fertilizer use are calculated based on defined strata and fertilizer application rates per hectare averaged over the specific rotation periods. In addition, the percentage</a:t>
          </a:r>
          <a:r>
            <a:rPr lang="en-US" sz="1400" b="1" baseline="0">
              <a:solidFill>
                <a:sysClr val="windowText" lastClr="000000"/>
              </a:solidFill>
            </a:rPr>
            <a:t> Nitrogen content </a:t>
          </a:r>
          <a:r>
            <a:rPr lang="en-US" sz="1400" b="0" baseline="0">
              <a:solidFill>
                <a:sysClr val="windowText" lastClr="000000"/>
              </a:solidFill>
            </a:rPr>
            <a:t>is required.</a:t>
          </a:r>
        </a:p>
      </xdr:txBody>
    </xdr:sp>
    <xdr:clientData/>
  </xdr:twoCellAnchor>
  <xdr:twoCellAnchor>
    <xdr:from>
      <xdr:col>0</xdr:col>
      <xdr:colOff>0</xdr:colOff>
      <xdr:row>0</xdr:row>
      <xdr:rowOff>28546</xdr:rowOff>
    </xdr:from>
    <xdr:to>
      <xdr:col>7</xdr:col>
      <xdr:colOff>38103</xdr:colOff>
      <xdr:row>0</xdr:row>
      <xdr:rowOff>1477570</xdr:rowOff>
    </xdr:to>
    <xdr:grpSp>
      <xdr:nvGrpSpPr>
        <xdr:cNvPr id="22" name="Group 21">
          <a:extLst>
            <a:ext uri="{FF2B5EF4-FFF2-40B4-BE49-F238E27FC236}">
              <a16:creationId xmlns:a16="http://schemas.microsoft.com/office/drawing/2014/main" id="{00000000-0008-0000-0600-000016000000}"/>
            </a:ext>
          </a:extLst>
        </xdr:cNvPr>
        <xdr:cNvGrpSpPr/>
      </xdr:nvGrpSpPr>
      <xdr:grpSpPr>
        <a:xfrm>
          <a:off x="0" y="28546"/>
          <a:ext cx="8286753" cy="1449024"/>
          <a:chOff x="57150" y="28546"/>
          <a:chExt cx="8312335" cy="1449024"/>
        </a:xfrm>
      </xdr:grpSpPr>
      <xdr:sp macro="" textlink="">
        <xdr:nvSpPr>
          <xdr:cNvPr id="23" name="57 Proceso alternativo">
            <a:extLst>
              <a:ext uri="{FF2B5EF4-FFF2-40B4-BE49-F238E27FC236}">
                <a16:creationId xmlns:a16="http://schemas.microsoft.com/office/drawing/2014/main" id="{00000000-0008-0000-0600-000017000000}"/>
              </a:ext>
            </a:extLst>
          </xdr:cNvPr>
          <xdr:cNvSpPr/>
        </xdr:nvSpPr>
        <xdr:spPr>
          <a:xfrm>
            <a:off x="57150" y="83937"/>
            <a:ext cx="3005209"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4" name="58 Rectángulo redondeado">
            <a:extLst>
              <a:ext uri="{FF2B5EF4-FFF2-40B4-BE49-F238E27FC236}">
                <a16:creationId xmlns:a16="http://schemas.microsoft.com/office/drawing/2014/main" id="{00000000-0008-0000-0600-000018000000}"/>
              </a:ext>
            </a:extLst>
          </xdr:cNvPr>
          <xdr:cNvSpPr/>
        </xdr:nvSpPr>
        <xdr:spPr>
          <a:xfrm>
            <a:off x="104775" y="591143"/>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25" name="60 Rectángulo redondeado">
            <a:hlinkClick xmlns:r="http://schemas.openxmlformats.org/officeDocument/2006/relationships" r:id="rId1"/>
            <a:extLst>
              <a:ext uri="{FF2B5EF4-FFF2-40B4-BE49-F238E27FC236}">
                <a16:creationId xmlns:a16="http://schemas.microsoft.com/office/drawing/2014/main" id="{00000000-0008-0000-0600-000019000000}"/>
              </a:ext>
            </a:extLst>
          </xdr:cNvPr>
          <xdr:cNvSpPr/>
        </xdr:nvSpPr>
        <xdr:spPr>
          <a:xfrm>
            <a:off x="170263" y="678669"/>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26" name="68 Rectángulo redondeado">
            <a:hlinkClick xmlns:r="http://schemas.openxmlformats.org/officeDocument/2006/relationships" r:id="rId2"/>
            <a:extLst>
              <a:ext uri="{FF2B5EF4-FFF2-40B4-BE49-F238E27FC236}">
                <a16:creationId xmlns:a16="http://schemas.microsoft.com/office/drawing/2014/main" id="{00000000-0008-0000-0600-00001A000000}"/>
              </a:ext>
            </a:extLst>
          </xdr:cNvPr>
          <xdr:cNvSpPr/>
        </xdr:nvSpPr>
        <xdr:spPr>
          <a:xfrm>
            <a:off x="3108545" y="130124"/>
            <a:ext cx="139065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27" name="Picture 1">
            <a:extLst>
              <a:ext uri="{FF2B5EF4-FFF2-40B4-BE49-F238E27FC236}">
                <a16:creationId xmlns:a16="http://schemas.microsoft.com/office/drawing/2014/main" id="{00000000-0008-0000-0600-00001B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6051485" y="28546"/>
            <a:ext cx="857250" cy="515739"/>
          </a:xfrm>
          <a:prstGeom prst="rect">
            <a:avLst/>
          </a:prstGeom>
          <a:noFill/>
          <a:ln w="1">
            <a:noFill/>
            <a:miter lim="800000"/>
            <a:headEnd/>
            <a:tailEnd type="none" w="med" len="med"/>
          </a:ln>
          <a:effectLst/>
        </xdr:spPr>
      </xdr:pic>
      <xdr:sp macro="" textlink="">
        <xdr:nvSpPr>
          <xdr:cNvPr id="29" name="58 Rectángulo redondeado">
            <a:extLst>
              <a:ext uri="{FF2B5EF4-FFF2-40B4-BE49-F238E27FC236}">
                <a16:creationId xmlns:a16="http://schemas.microsoft.com/office/drawing/2014/main" id="{00000000-0008-0000-0600-00001D000000}"/>
              </a:ext>
            </a:extLst>
          </xdr:cNvPr>
          <xdr:cNvSpPr/>
        </xdr:nvSpPr>
        <xdr:spPr>
          <a:xfrm>
            <a:off x="3384950"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0" name="58 Rectángulo redondeado">
            <a:extLst>
              <a:ext uri="{FF2B5EF4-FFF2-40B4-BE49-F238E27FC236}">
                <a16:creationId xmlns:a16="http://schemas.microsoft.com/office/drawing/2014/main" id="{00000000-0008-0000-0600-00001E000000}"/>
              </a:ext>
            </a:extLst>
          </xdr:cNvPr>
          <xdr:cNvSpPr/>
        </xdr:nvSpPr>
        <xdr:spPr>
          <a:xfrm>
            <a:off x="1744863" y="591143"/>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1" name="62 Rectángulo redondeado">
            <a:hlinkClick xmlns:r="http://schemas.openxmlformats.org/officeDocument/2006/relationships" r:id="rId4"/>
            <a:extLst>
              <a:ext uri="{FF2B5EF4-FFF2-40B4-BE49-F238E27FC236}">
                <a16:creationId xmlns:a16="http://schemas.microsoft.com/office/drawing/2014/main" id="{00000000-0008-0000-0600-00001F000000}"/>
              </a:ext>
            </a:extLst>
          </xdr:cNvPr>
          <xdr:cNvSpPr/>
        </xdr:nvSpPr>
        <xdr:spPr>
          <a:xfrm>
            <a:off x="1836090"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32" name="66 Rectángulo redondeado">
            <a:hlinkClick xmlns:r="http://schemas.openxmlformats.org/officeDocument/2006/relationships" r:id="rId5"/>
            <a:extLst>
              <a:ext uri="{FF2B5EF4-FFF2-40B4-BE49-F238E27FC236}">
                <a16:creationId xmlns:a16="http://schemas.microsoft.com/office/drawing/2014/main" id="{00000000-0008-0000-0600-000020000000}"/>
              </a:ext>
            </a:extLst>
          </xdr:cNvPr>
          <xdr:cNvSpPr/>
        </xdr:nvSpPr>
        <xdr:spPr>
          <a:xfrm>
            <a:off x="3491345" y="678669"/>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33" name="33 Rectángulo redondeado">
            <a:hlinkClick xmlns:r="http://schemas.openxmlformats.org/officeDocument/2006/relationships" r:id="rId6"/>
            <a:extLst>
              <a:ext uri="{FF2B5EF4-FFF2-40B4-BE49-F238E27FC236}">
                <a16:creationId xmlns:a16="http://schemas.microsoft.com/office/drawing/2014/main" id="{00000000-0008-0000-0600-000021000000}"/>
              </a:ext>
            </a:extLst>
          </xdr:cNvPr>
          <xdr:cNvSpPr>
            <a:spLocks/>
          </xdr:cNvSpPr>
        </xdr:nvSpPr>
        <xdr:spPr>
          <a:xfrm>
            <a:off x="2948573" y="1191208"/>
            <a:ext cx="1307654" cy="286362"/>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34" name="34 Rectángulo redondeado">
            <a:hlinkClick xmlns:r="http://schemas.openxmlformats.org/officeDocument/2006/relationships" r:id="rId7"/>
            <a:extLst>
              <a:ext uri="{FF2B5EF4-FFF2-40B4-BE49-F238E27FC236}">
                <a16:creationId xmlns:a16="http://schemas.microsoft.com/office/drawing/2014/main" id="{00000000-0008-0000-0600-000022000000}"/>
              </a:ext>
            </a:extLst>
          </xdr:cNvPr>
          <xdr:cNvSpPr>
            <a:spLocks/>
          </xdr:cNvSpPr>
        </xdr:nvSpPr>
        <xdr:spPr>
          <a:xfrm>
            <a:off x="4294207" y="1205204"/>
            <a:ext cx="1288563" cy="272366"/>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35" name="38 Rectángulo redondeado">
            <a:hlinkClick xmlns:r="http://schemas.openxmlformats.org/officeDocument/2006/relationships" r:id="rId8"/>
            <a:extLst>
              <a:ext uri="{FF2B5EF4-FFF2-40B4-BE49-F238E27FC236}">
                <a16:creationId xmlns:a16="http://schemas.microsoft.com/office/drawing/2014/main" id="{00000000-0008-0000-0600-000023000000}"/>
              </a:ext>
            </a:extLst>
          </xdr:cNvPr>
          <xdr:cNvSpPr>
            <a:spLocks/>
          </xdr:cNvSpPr>
        </xdr:nvSpPr>
        <xdr:spPr>
          <a:xfrm>
            <a:off x="5619609" y="1195485"/>
            <a:ext cx="1301307" cy="281279"/>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36" name="39 Rectángulo redondeado">
            <a:hlinkClick xmlns:r="http://schemas.openxmlformats.org/officeDocument/2006/relationships" r:id="rId9"/>
            <a:extLst>
              <a:ext uri="{FF2B5EF4-FFF2-40B4-BE49-F238E27FC236}">
                <a16:creationId xmlns:a16="http://schemas.microsoft.com/office/drawing/2014/main" id="{00000000-0008-0000-0600-000024000000}"/>
              </a:ext>
            </a:extLst>
          </xdr:cNvPr>
          <xdr:cNvSpPr>
            <a:spLocks/>
          </xdr:cNvSpPr>
        </xdr:nvSpPr>
        <xdr:spPr>
          <a:xfrm>
            <a:off x="6955198" y="1205204"/>
            <a:ext cx="1414287" cy="272171"/>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37" name="32 Rectángulo redondeado">
            <a:hlinkClick xmlns:r="http://schemas.openxmlformats.org/officeDocument/2006/relationships" r:id="rId10"/>
            <a:extLst>
              <a:ext uri="{FF2B5EF4-FFF2-40B4-BE49-F238E27FC236}">
                <a16:creationId xmlns:a16="http://schemas.microsoft.com/office/drawing/2014/main" id="{00000000-0008-0000-0600-000025000000}"/>
              </a:ext>
            </a:extLst>
          </xdr:cNvPr>
          <xdr:cNvSpPr>
            <a:spLocks/>
          </xdr:cNvSpPr>
        </xdr:nvSpPr>
        <xdr:spPr>
          <a:xfrm>
            <a:off x="4557472" y="116633"/>
            <a:ext cx="1355377" cy="271754"/>
          </a:xfrm>
          <a:prstGeom prst="roundRect">
            <a:avLst/>
          </a:prstGeom>
          <a:gradFill>
            <a:gsLst>
              <a:gs pos="0">
                <a:schemeClr val="bg1">
                  <a:lumMod val="85000"/>
                </a:schemeClr>
              </a:gs>
              <a:gs pos="0">
                <a:schemeClr val="accent5">
                  <a:lumMod val="40000"/>
                  <a:lumOff val="60000"/>
                </a:schemeClr>
              </a:gs>
              <a:gs pos="100000">
                <a:schemeClr val="accent1">
                  <a:tint val="15000"/>
                  <a:satMod val="350000"/>
                </a:schemeClr>
              </a:gs>
            </a:gsLst>
          </a:gradFill>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latin typeface="+mn-lt"/>
                <a:ea typeface="+mn-ea"/>
                <a:cs typeface="+mn-cs"/>
              </a:rPr>
              <a:t>About</a:t>
            </a:r>
            <a:r>
              <a:rPr lang="de-DE" sz="1000" baseline="0">
                <a:solidFill>
                  <a:sysClr val="windowText" lastClr="000000"/>
                </a:solidFill>
                <a:latin typeface="+mn-lt"/>
                <a:ea typeface="+mn-ea"/>
                <a:cs typeface="+mn-cs"/>
              </a:rPr>
              <a:t> this tool</a:t>
            </a:r>
            <a:endParaRPr lang="de-DE" sz="1000">
              <a:solidFill>
                <a:sysClr val="windowText" lastClr="000000"/>
              </a:solidFill>
              <a:latin typeface="+mn-lt"/>
              <a:ea typeface="+mn-ea"/>
              <a:cs typeface="+mn-cs"/>
            </a:endParaRPr>
          </a:p>
        </xdr:txBody>
      </xdr:sp>
      <xdr:sp macro="" textlink="">
        <xdr:nvSpPr>
          <xdr:cNvPr id="38" name="32 Rectángulo redondeado">
            <a:hlinkClick xmlns:r="http://schemas.openxmlformats.org/officeDocument/2006/relationships" r:id="rId11"/>
            <a:extLst>
              <a:ext uri="{FF2B5EF4-FFF2-40B4-BE49-F238E27FC236}">
                <a16:creationId xmlns:a16="http://schemas.microsoft.com/office/drawing/2014/main" id="{00000000-0008-0000-0600-000026000000}"/>
              </a:ext>
            </a:extLst>
          </xdr:cNvPr>
          <xdr:cNvSpPr>
            <a:spLocks/>
          </xdr:cNvSpPr>
        </xdr:nvSpPr>
        <xdr:spPr>
          <a:xfrm>
            <a:off x="158083" y="1195485"/>
            <a:ext cx="1397135" cy="281084"/>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39" name="33 Rectángulo redondeado">
            <a:hlinkClick xmlns:r="http://schemas.openxmlformats.org/officeDocument/2006/relationships" r:id="rId12"/>
            <a:extLst>
              <a:ext uri="{FF2B5EF4-FFF2-40B4-BE49-F238E27FC236}">
                <a16:creationId xmlns:a16="http://schemas.microsoft.com/office/drawing/2014/main" id="{00000000-0008-0000-0600-000027000000}"/>
              </a:ext>
            </a:extLst>
          </xdr:cNvPr>
          <xdr:cNvSpPr>
            <a:spLocks/>
          </xdr:cNvSpPr>
        </xdr:nvSpPr>
        <xdr:spPr>
          <a:xfrm>
            <a:off x="1602740" y="1187276"/>
            <a:ext cx="1298107" cy="28948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editAs="absolute">
    <xdr:from>
      <xdr:col>4</xdr:col>
      <xdr:colOff>933451</xdr:colOff>
      <xdr:row>0</xdr:row>
      <xdr:rowOff>748393</xdr:rowOff>
    </xdr:from>
    <xdr:to>
      <xdr:col>5</xdr:col>
      <xdr:colOff>1545383</xdr:colOff>
      <xdr:row>0</xdr:row>
      <xdr:rowOff>1028699</xdr:rowOff>
    </xdr:to>
    <xdr:sp macro="[0]!delete_rows" textlink="">
      <xdr:nvSpPr>
        <xdr:cNvPr id="40" name="Rounded Rectangle 39">
          <a:extLst>
            <a:ext uri="{FF2B5EF4-FFF2-40B4-BE49-F238E27FC236}">
              <a16:creationId xmlns:a16="http://schemas.microsoft.com/office/drawing/2014/main" id="{00000000-0008-0000-0600-000028000000}"/>
            </a:ext>
          </a:extLst>
        </xdr:cNvPr>
        <xdr:cNvSpPr/>
      </xdr:nvSpPr>
      <xdr:spPr>
        <a:xfrm>
          <a:off x="5103068" y="748393"/>
          <a:ext cx="2021244" cy="280306"/>
        </a:xfrm>
        <a:prstGeom prst="roundRect">
          <a:avLst/>
        </a:prstGeom>
        <a:ln>
          <a:noFill/>
        </a:ln>
        <a:scene3d>
          <a:camera prst="orthographicFront"/>
          <a:lightRig rig="threePt" dir="t"/>
        </a:scene3d>
        <a:sp3d prstMaterial="dkEdge">
          <a:bevelT/>
          <a:bevelB/>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IN" sz="1100"/>
            <a:t>Delete selected rows</a:t>
          </a:r>
        </a:p>
      </xdr:txBody>
    </xdr:sp>
    <xdr:clientData/>
  </xdr:twoCellAnchor>
  <xdr:twoCellAnchor editAs="oneCell">
    <xdr:from>
      <xdr:col>5</xdr:col>
      <xdr:colOff>1282958</xdr:colOff>
      <xdr:row>0</xdr:row>
      <xdr:rowOff>28546</xdr:rowOff>
    </xdr:from>
    <xdr:to>
      <xdr:col>6</xdr:col>
      <xdr:colOff>58317</xdr:colOff>
      <xdr:row>0</xdr:row>
      <xdr:rowOff>543674</xdr:rowOff>
    </xdr:to>
    <xdr:pic>
      <xdr:nvPicPr>
        <xdr:cNvPr id="41" name="Picture 40">
          <a:extLst>
            <a:ext uri="{FF2B5EF4-FFF2-40B4-BE49-F238E27FC236}">
              <a16:creationId xmlns:a16="http://schemas.microsoft.com/office/drawing/2014/main" id="{00000000-0008-0000-0600-000029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6861887" y="28546"/>
          <a:ext cx="524848" cy="5151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1390650</xdr:colOff>
      <xdr:row>3</xdr:row>
      <xdr:rowOff>95251</xdr:rowOff>
    </xdr:from>
    <xdr:to>
      <xdr:col>17</xdr:col>
      <xdr:colOff>685800</xdr:colOff>
      <xdr:row>10</xdr:row>
      <xdr:rowOff>24847</xdr:rowOff>
    </xdr:to>
    <xdr:sp macro="" textlink="">
      <xdr:nvSpPr>
        <xdr:cNvPr id="23" name="Rounded Rectangle 22">
          <a:extLst>
            <a:ext uri="{FF2B5EF4-FFF2-40B4-BE49-F238E27FC236}">
              <a16:creationId xmlns:a16="http://schemas.microsoft.com/office/drawing/2014/main" id="{00000000-0008-0000-0700-000017000000}"/>
            </a:ext>
          </a:extLst>
        </xdr:cNvPr>
        <xdr:cNvSpPr/>
      </xdr:nvSpPr>
      <xdr:spPr>
        <a:xfrm>
          <a:off x="1390650" y="1990726"/>
          <a:ext cx="7296150" cy="1348821"/>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b="0" baseline="0">
              <a:solidFill>
                <a:sysClr val="windowText" lastClr="000000"/>
              </a:solidFill>
              <a:latin typeface="+mn-lt"/>
              <a:ea typeface="+mn-ea"/>
              <a:cs typeface="+mn-cs"/>
            </a:rPr>
            <a:t>If you decided to assess carbon stored in wood products under </a:t>
          </a:r>
          <a:r>
            <a:rPr lang="en-US" sz="1400" b="1" baseline="0">
              <a:solidFill>
                <a:sysClr val="windowText" lastClr="000000"/>
              </a:solidFill>
              <a:latin typeface="+mn-lt"/>
              <a:ea typeface="+mn-ea"/>
              <a:cs typeface="+mn-cs"/>
            </a:rPr>
            <a:t>Scope of assessment</a:t>
          </a:r>
          <a:r>
            <a:rPr lang="en-US" sz="1400" b="0" baseline="0">
              <a:solidFill>
                <a:sysClr val="windowText" lastClr="000000"/>
              </a:solidFill>
              <a:latin typeface="+mn-lt"/>
              <a:ea typeface="+mn-ea"/>
              <a:cs typeface="+mn-cs"/>
            </a:rPr>
            <a:t>, please define the species-specific wood product classes and the annual timber extraction rates for these categories. </a:t>
          </a:r>
        </a:p>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b="0" baseline="0">
              <a:solidFill>
                <a:sysClr val="windowText" lastClr="000000"/>
              </a:solidFill>
              <a:latin typeface="+mn-lt"/>
              <a:ea typeface="+mn-ea"/>
              <a:cs typeface="+mn-cs"/>
            </a:rPr>
            <a:t>If the table is shaded grey, this is because you indicated '</a:t>
          </a:r>
          <a:r>
            <a:rPr lang="en-US" sz="1400" b="1" baseline="0">
              <a:solidFill>
                <a:sysClr val="windowText" lastClr="000000"/>
              </a:solidFill>
              <a:latin typeface="+mn-lt"/>
              <a:ea typeface="+mn-ea"/>
              <a:cs typeface="+mn-cs"/>
            </a:rPr>
            <a:t>No</a:t>
          </a:r>
          <a:r>
            <a:rPr lang="en-US" sz="1400" b="0" baseline="0">
              <a:solidFill>
                <a:sysClr val="windowText" lastClr="000000"/>
              </a:solidFill>
              <a:latin typeface="+mn-lt"/>
              <a:ea typeface="+mn-ea"/>
              <a:cs typeface="+mn-cs"/>
            </a:rPr>
            <a:t>' under </a:t>
          </a:r>
          <a:r>
            <a:rPr lang="en-US" sz="1400" b="1" baseline="0">
              <a:solidFill>
                <a:sysClr val="windowText" lastClr="000000"/>
              </a:solidFill>
              <a:latin typeface="+mn-lt"/>
              <a:ea typeface="+mn-ea"/>
              <a:cs typeface="+mn-cs"/>
            </a:rPr>
            <a:t>Scope </a:t>
          </a:r>
          <a:r>
            <a:rPr lang="en-US" sz="1400" b="1" baseline="0">
              <a:solidFill>
                <a:sysClr val="windowText" lastClr="000000"/>
              </a:solidFill>
              <a:effectLst/>
              <a:latin typeface="+mn-lt"/>
              <a:ea typeface="+mn-ea"/>
              <a:cs typeface="+mn-cs"/>
            </a:rPr>
            <a:t>of assessment</a:t>
          </a:r>
          <a:r>
            <a:rPr lang="en-US" sz="1400" b="0" baseline="0">
              <a:solidFill>
                <a:sysClr val="windowText" lastClr="000000"/>
              </a:solidFill>
              <a:effectLst/>
              <a:latin typeface="+mn-lt"/>
              <a:ea typeface="+mn-ea"/>
              <a:cs typeface="+mn-cs"/>
            </a:rPr>
            <a:t>, and no inputs are required. </a:t>
          </a:r>
          <a:endParaRPr lang="en-US" sz="1400" b="0" baseline="0">
            <a:solidFill>
              <a:sysClr val="windowText" lastClr="000000"/>
            </a:solidFill>
            <a:latin typeface="+mn-lt"/>
            <a:ea typeface="+mn-ea"/>
            <a:cs typeface="+mn-cs"/>
          </a:endParaRPr>
        </a:p>
      </xdr:txBody>
    </xdr:sp>
    <xdr:clientData/>
  </xdr:twoCellAnchor>
  <xdr:twoCellAnchor editAs="absolute">
    <xdr:from>
      <xdr:col>3</xdr:col>
      <xdr:colOff>876300</xdr:colOff>
      <xdr:row>0</xdr:row>
      <xdr:rowOff>723900</xdr:rowOff>
    </xdr:from>
    <xdr:to>
      <xdr:col>3</xdr:col>
      <xdr:colOff>2810996</xdr:colOff>
      <xdr:row>0</xdr:row>
      <xdr:rowOff>990600</xdr:rowOff>
    </xdr:to>
    <xdr:sp macro="[0]!delete_rows" textlink="">
      <xdr:nvSpPr>
        <xdr:cNvPr id="21" name="Rounded Rectangle 20">
          <a:extLst>
            <a:ext uri="{FF2B5EF4-FFF2-40B4-BE49-F238E27FC236}">
              <a16:creationId xmlns:a16="http://schemas.microsoft.com/office/drawing/2014/main" id="{00000000-0008-0000-0700-000015000000}"/>
            </a:ext>
          </a:extLst>
        </xdr:cNvPr>
        <xdr:cNvSpPr/>
      </xdr:nvSpPr>
      <xdr:spPr>
        <a:xfrm>
          <a:off x="5876925" y="723900"/>
          <a:ext cx="1934696" cy="266700"/>
        </a:xfrm>
        <a:prstGeom prst="roundRect">
          <a:avLst/>
        </a:prstGeom>
        <a:ln>
          <a:noFill/>
        </a:ln>
        <a:scene3d>
          <a:camera prst="orthographicFront"/>
          <a:lightRig rig="threePt" dir="t"/>
        </a:scene3d>
        <a:sp3d prstMaterial="dkEdge">
          <a:bevelT/>
          <a:bevelB/>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IN" sz="1100"/>
            <a:t>Delete selected rows</a:t>
          </a:r>
        </a:p>
      </xdr:txBody>
    </xdr:sp>
    <xdr:clientData/>
  </xdr:twoCellAnchor>
  <xdr:twoCellAnchor>
    <xdr:from>
      <xdr:col>0</xdr:col>
      <xdr:colOff>0</xdr:colOff>
      <xdr:row>0</xdr:row>
      <xdr:rowOff>28726</xdr:rowOff>
    </xdr:from>
    <xdr:to>
      <xdr:col>17</xdr:col>
      <xdr:colOff>647699</xdr:colOff>
      <xdr:row>0</xdr:row>
      <xdr:rowOff>1419226</xdr:rowOff>
    </xdr:to>
    <xdr:grpSp>
      <xdr:nvGrpSpPr>
        <xdr:cNvPr id="22" name="Group 21">
          <a:extLst>
            <a:ext uri="{FF2B5EF4-FFF2-40B4-BE49-F238E27FC236}">
              <a16:creationId xmlns:a16="http://schemas.microsoft.com/office/drawing/2014/main" id="{00000000-0008-0000-0700-000016000000}"/>
            </a:ext>
          </a:extLst>
        </xdr:cNvPr>
        <xdr:cNvGrpSpPr/>
      </xdr:nvGrpSpPr>
      <xdr:grpSpPr>
        <a:xfrm>
          <a:off x="0" y="28726"/>
          <a:ext cx="8639174" cy="1390500"/>
          <a:chOff x="57150" y="57325"/>
          <a:chExt cx="3052586" cy="1391100"/>
        </a:xfrm>
      </xdr:grpSpPr>
      <xdr:sp macro="" textlink="">
        <xdr:nvSpPr>
          <xdr:cNvPr id="25" name="57 Proceso alternativo">
            <a:extLst>
              <a:ext uri="{FF2B5EF4-FFF2-40B4-BE49-F238E27FC236}">
                <a16:creationId xmlns:a16="http://schemas.microsoft.com/office/drawing/2014/main" id="{00000000-0008-0000-0700-000019000000}"/>
              </a:ext>
            </a:extLst>
          </xdr:cNvPr>
          <xdr:cNvSpPr/>
        </xdr:nvSpPr>
        <xdr:spPr>
          <a:xfrm>
            <a:off x="57150" y="83937"/>
            <a:ext cx="1080353"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37" name="58 Rectángulo redondeado">
            <a:extLst>
              <a:ext uri="{FF2B5EF4-FFF2-40B4-BE49-F238E27FC236}">
                <a16:creationId xmlns:a16="http://schemas.microsoft.com/office/drawing/2014/main" id="{00000000-0008-0000-0700-000025000000}"/>
              </a:ext>
            </a:extLst>
          </xdr:cNvPr>
          <xdr:cNvSpPr/>
        </xdr:nvSpPr>
        <xdr:spPr>
          <a:xfrm>
            <a:off x="67945" y="562555"/>
            <a:ext cx="69533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38" name="60 Rectángulo redondeado">
            <a:hlinkClick xmlns:r="http://schemas.openxmlformats.org/officeDocument/2006/relationships" r:id="rId1"/>
            <a:extLst>
              <a:ext uri="{FF2B5EF4-FFF2-40B4-BE49-F238E27FC236}">
                <a16:creationId xmlns:a16="http://schemas.microsoft.com/office/drawing/2014/main" id="{00000000-0008-0000-0700-000026000000}"/>
              </a:ext>
            </a:extLst>
          </xdr:cNvPr>
          <xdr:cNvSpPr/>
        </xdr:nvSpPr>
        <xdr:spPr>
          <a:xfrm>
            <a:off x="87200" y="650082"/>
            <a:ext cx="649548"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39" name="68 Rectángulo redondeado">
            <a:hlinkClick xmlns:r="http://schemas.openxmlformats.org/officeDocument/2006/relationships" r:id="rId2"/>
            <a:extLst>
              <a:ext uri="{FF2B5EF4-FFF2-40B4-BE49-F238E27FC236}">
                <a16:creationId xmlns:a16="http://schemas.microsoft.com/office/drawing/2014/main" id="{00000000-0008-0000-0700-000027000000}"/>
              </a:ext>
            </a:extLst>
          </xdr:cNvPr>
          <xdr:cNvSpPr/>
        </xdr:nvSpPr>
        <xdr:spPr>
          <a:xfrm>
            <a:off x="1150637" y="130315"/>
            <a:ext cx="540991"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pic>
        <xdr:nvPicPr>
          <xdr:cNvPr id="40" name="Picture 1">
            <a:extLst>
              <a:ext uri="{FF2B5EF4-FFF2-40B4-BE49-F238E27FC236}">
                <a16:creationId xmlns:a16="http://schemas.microsoft.com/office/drawing/2014/main" id="{00000000-0008-0000-0700-000028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2418443" y="57325"/>
            <a:ext cx="309141" cy="495364"/>
          </a:xfrm>
          <a:prstGeom prst="rect">
            <a:avLst/>
          </a:prstGeom>
          <a:noFill/>
          <a:ln w="1">
            <a:noFill/>
            <a:miter lim="800000"/>
            <a:headEnd/>
            <a:tailEnd type="none" w="med" len="med"/>
          </a:ln>
          <a:effectLst/>
        </xdr:spPr>
      </xdr:pic>
      <xdr:sp macro="" textlink="">
        <xdr:nvSpPr>
          <xdr:cNvPr id="42" name="58 Rectángulo redondeado">
            <a:extLst>
              <a:ext uri="{FF2B5EF4-FFF2-40B4-BE49-F238E27FC236}">
                <a16:creationId xmlns:a16="http://schemas.microsoft.com/office/drawing/2014/main" id="{00000000-0008-0000-0700-00002A000000}"/>
              </a:ext>
            </a:extLst>
          </xdr:cNvPr>
          <xdr:cNvSpPr/>
        </xdr:nvSpPr>
        <xdr:spPr>
          <a:xfrm>
            <a:off x="1469550" y="581275"/>
            <a:ext cx="714434" cy="505043"/>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3" name="58 Rectángulo redondeado">
            <a:extLst>
              <a:ext uri="{FF2B5EF4-FFF2-40B4-BE49-F238E27FC236}">
                <a16:creationId xmlns:a16="http://schemas.microsoft.com/office/drawing/2014/main" id="{00000000-0008-0000-0700-00002B000000}"/>
              </a:ext>
            </a:extLst>
          </xdr:cNvPr>
          <xdr:cNvSpPr/>
        </xdr:nvSpPr>
        <xdr:spPr>
          <a:xfrm>
            <a:off x="789198" y="572085"/>
            <a:ext cx="656579"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4" name="62 Rectángulo redondeado">
            <a:hlinkClick xmlns:r="http://schemas.openxmlformats.org/officeDocument/2006/relationships" r:id="rId4"/>
            <a:extLst>
              <a:ext uri="{FF2B5EF4-FFF2-40B4-BE49-F238E27FC236}">
                <a16:creationId xmlns:a16="http://schemas.microsoft.com/office/drawing/2014/main" id="{00000000-0008-0000-0700-00002C000000}"/>
              </a:ext>
            </a:extLst>
          </xdr:cNvPr>
          <xdr:cNvSpPr/>
        </xdr:nvSpPr>
        <xdr:spPr>
          <a:xfrm>
            <a:off x="825344" y="659611"/>
            <a:ext cx="581968"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45" name="66 Rectángulo redondeado">
            <a:hlinkClick xmlns:r="http://schemas.openxmlformats.org/officeDocument/2006/relationships" r:id="rId5"/>
            <a:extLst>
              <a:ext uri="{FF2B5EF4-FFF2-40B4-BE49-F238E27FC236}">
                <a16:creationId xmlns:a16="http://schemas.microsoft.com/office/drawing/2014/main" id="{00000000-0008-0000-0700-00002D000000}"/>
              </a:ext>
            </a:extLst>
          </xdr:cNvPr>
          <xdr:cNvSpPr/>
        </xdr:nvSpPr>
        <xdr:spPr>
          <a:xfrm>
            <a:off x="1523093" y="669140"/>
            <a:ext cx="583973" cy="318326"/>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sp macro="" textlink="">
        <xdr:nvSpPr>
          <xdr:cNvPr id="46" name="33 Rectángulo redondeado">
            <a:hlinkClick xmlns:r="http://schemas.openxmlformats.org/officeDocument/2006/relationships" r:id="rId6"/>
            <a:extLst>
              <a:ext uri="{FF2B5EF4-FFF2-40B4-BE49-F238E27FC236}">
                <a16:creationId xmlns:a16="http://schemas.microsoft.com/office/drawing/2014/main" id="{00000000-0008-0000-0700-00002E000000}"/>
              </a:ext>
            </a:extLst>
          </xdr:cNvPr>
          <xdr:cNvSpPr>
            <a:spLocks/>
          </xdr:cNvSpPr>
        </xdr:nvSpPr>
        <xdr:spPr>
          <a:xfrm>
            <a:off x="1119607" y="1186895"/>
            <a:ext cx="509141"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Species</a:t>
            </a:r>
          </a:p>
        </xdr:txBody>
      </xdr:sp>
      <xdr:sp macro="" textlink="">
        <xdr:nvSpPr>
          <xdr:cNvPr id="47" name="34 Rectángulo redondeado">
            <a:hlinkClick xmlns:r="http://schemas.openxmlformats.org/officeDocument/2006/relationships" r:id="rId7"/>
            <a:extLst>
              <a:ext uri="{FF2B5EF4-FFF2-40B4-BE49-F238E27FC236}">
                <a16:creationId xmlns:a16="http://schemas.microsoft.com/office/drawing/2014/main" id="{00000000-0008-0000-0700-00002F000000}"/>
              </a:ext>
            </a:extLst>
          </xdr:cNvPr>
          <xdr:cNvSpPr>
            <a:spLocks/>
          </xdr:cNvSpPr>
        </xdr:nvSpPr>
        <xdr:spPr>
          <a:xfrm>
            <a:off x="1648442" y="1186895"/>
            <a:ext cx="40835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Strata</a:t>
            </a:r>
          </a:p>
        </xdr:txBody>
      </xdr:sp>
      <xdr:sp macro="" textlink="">
        <xdr:nvSpPr>
          <xdr:cNvPr id="48" name="38 Rectángulo redondeado">
            <a:hlinkClick xmlns:r="http://schemas.openxmlformats.org/officeDocument/2006/relationships" r:id="rId8"/>
            <a:extLst>
              <a:ext uri="{FF2B5EF4-FFF2-40B4-BE49-F238E27FC236}">
                <a16:creationId xmlns:a16="http://schemas.microsoft.com/office/drawing/2014/main" id="{00000000-0008-0000-0700-000030000000}"/>
              </a:ext>
            </a:extLst>
          </xdr:cNvPr>
          <xdr:cNvSpPr>
            <a:spLocks/>
          </xdr:cNvSpPr>
        </xdr:nvSpPr>
        <xdr:spPr>
          <a:xfrm>
            <a:off x="2084917" y="1196425"/>
            <a:ext cx="531156"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GHG emissions</a:t>
            </a:r>
          </a:p>
        </xdr:txBody>
      </xdr:sp>
      <xdr:sp macro="" textlink="">
        <xdr:nvSpPr>
          <xdr:cNvPr id="49" name="39 Rectángulo redondeado">
            <a:hlinkClick xmlns:r="http://schemas.openxmlformats.org/officeDocument/2006/relationships" r:id="rId9"/>
            <a:extLst>
              <a:ext uri="{FF2B5EF4-FFF2-40B4-BE49-F238E27FC236}">
                <a16:creationId xmlns:a16="http://schemas.microsoft.com/office/drawing/2014/main" id="{00000000-0008-0000-0700-000031000000}"/>
              </a:ext>
            </a:extLst>
          </xdr:cNvPr>
          <xdr:cNvSpPr>
            <a:spLocks/>
          </xdr:cNvSpPr>
        </xdr:nvSpPr>
        <xdr:spPr>
          <a:xfrm>
            <a:off x="2639944" y="1196424"/>
            <a:ext cx="469792" cy="252000"/>
          </a:xfrm>
          <a:prstGeom prst="roundRect">
            <a:avLst/>
          </a:prstGeom>
          <a:gradFill>
            <a:gsLst>
              <a:gs pos="0">
                <a:schemeClr val="accent2"/>
              </a:gs>
              <a:gs pos="100000">
                <a:srgbClr val="D5E8CE"/>
              </a:gs>
              <a:gs pos="100000">
                <a:schemeClr val="accent5">
                  <a:tint val="15000"/>
                  <a:satMod val="350000"/>
                </a:schemeClr>
              </a:gs>
            </a:gsLst>
          </a:gradFill>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chemeClr val="dk1"/>
                </a:solidFill>
                <a:latin typeface="+mn-lt"/>
                <a:ea typeface="+mn-ea"/>
                <a:cs typeface="+mn-cs"/>
              </a:rPr>
              <a:t>Wood products</a:t>
            </a:r>
          </a:p>
        </xdr:txBody>
      </xdr:sp>
      <xdr:sp macro="" textlink="">
        <xdr:nvSpPr>
          <xdr:cNvPr id="50" name="32 Rectángulo redondeado">
            <a:hlinkClick xmlns:r="http://schemas.openxmlformats.org/officeDocument/2006/relationships" r:id="rId10"/>
            <a:extLst>
              <a:ext uri="{FF2B5EF4-FFF2-40B4-BE49-F238E27FC236}">
                <a16:creationId xmlns:a16="http://schemas.microsoft.com/office/drawing/2014/main" id="{00000000-0008-0000-0700-000032000000}"/>
              </a:ext>
            </a:extLst>
          </xdr:cNvPr>
          <xdr:cNvSpPr>
            <a:spLocks/>
          </xdr:cNvSpPr>
        </xdr:nvSpPr>
        <xdr:spPr>
          <a:xfrm>
            <a:off x="1719516" y="138694"/>
            <a:ext cx="568825"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sp macro="" textlink="">
        <xdr:nvSpPr>
          <xdr:cNvPr id="51" name="32 Rectángulo redondeado">
            <a:hlinkClick xmlns:r="http://schemas.openxmlformats.org/officeDocument/2006/relationships" r:id="rId11"/>
            <a:extLst>
              <a:ext uri="{FF2B5EF4-FFF2-40B4-BE49-F238E27FC236}">
                <a16:creationId xmlns:a16="http://schemas.microsoft.com/office/drawing/2014/main" id="{00000000-0008-0000-0700-000033000000}"/>
              </a:ext>
            </a:extLst>
          </xdr:cNvPr>
          <xdr:cNvSpPr>
            <a:spLocks/>
          </xdr:cNvSpPr>
        </xdr:nvSpPr>
        <xdr:spPr>
          <a:xfrm>
            <a:off x="84962" y="1177366"/>
            <a:ext cx="48459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Scope</a:t>
            </a:r>
            <a:r>
              <a:rPr lang="de-DE" sz="1000" baseline="0">
                <a:solidFill>
                  <a:sysClr val="windowText" lastClr="000000"/>
                </a:solidFill>
              </a:rPr>
              <a:t> of assessment</a:t>
            </a:r>
            <a:endParaRPr lang="de-DE" sz="1000">
              <a:solidFill>
                <a:sysClr val="windowText" lastClr="000000"/>
              </a:solidFill>
            </a:endParaRPr>
          </a:p>
        </xdr:txBody>
      </xdr:sp>
      <xdr:sp macro="" textlink="">
        <xdr:nvSpPr>
          <xdr:cNvPr id="52" name="33 Rectángulo redondeado">
            <a:hlinkClick xmlns:r="http://schemas.openxmlformats.org/officeDocument/2006/relationships" r:id="rId12"/>
            <a:extLst>
              <a:ext uri="{FF2B5EF4-FFF2-40B4-BE49-F238E27FC236}">
                <a16:creationId xmlns:a16="http://schemas.microsoft.com/office/drawing/2014/main" id="{00000000-0008-0000-0700-000034000000}"/>
              </a:ext>
            </a:extLst>
          </xdr:cNvPr>
          <xdr:cNvSpPr>
            <a:spLocks/>
          </xdr:cNvSpPr>
        </xdr:nvSpPr>
        <xdr:spPr>
          <a:xfrm>
            <a:off x="586652" y="1186896"/>
            <a:ext cx="520312"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chemeClr val="dk1"/>
                </a:solidFill>
                <a:latin typeface="+mn-lt"/>
                <a:ea typeface="+mn-ea"/>
                <a:cs typeface="+mn-cs"/>
              </a:rPr>
              <a:t>Background data</a:t>
            </a:r>
          </a:p>
        </xdr:txBody>
      </xdr:sp>
    </xdr:grpSp>
    <xdr:clientData/>
  </xdr:twoCellAnchor>
  <xdr:twoCellAnchor editAs="oneCell">
    <xdr:from>
      <xdr:col>3</xdr:col>
      <xdr:colOff>2619375</xdr:colOff>
      <xdr:row>0</xdr:row>
      <xdr:rowOff>28726</xdr:rowOff>
    </xdr:from>
    <xdr:to>
      <xdr:col>17</xdr:col>
      <xdr:colOff>123825</xdr:colOff>
      <xdr:row>0</xdr:row>
      <xdr:rowOff>533551</xdr:rowOff>
    </xdr:to>
    <xdr:pic>
      <xdr:nvPicPr>
        <xdr:cNvPr id="24" name="Picture 23">
          <a:extLst>
            <a:ext uri="{FF2B5EF4-FFF2-40B4-BE49-F238E27FC236}">
              <a16:creationId xmlns:a16="http://schemas.microsoft.com/office/drawing/2014/main" id="{00000000-0008-0000-0700-000018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7610475" y="28726"/>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485774</xdr:colOff>
      <xdr:row>7</xdr:row>
      <xdr:rowOff>66676</xdr:rowOff>
    </xdr:from>
    <xdr:to>
      <xdr:col>40</xdr:col>
      <xdr:colOff>200025</xdr:colOff>
      <xdr:row>13</xdr:row>
      <xdr:rowOff>180976</xdr:rowOff>
    </xdr:to>
    <xdr:sp macro="" textlink="">
      <xdr:nvSpPr>
        <xdr:cNvPr id="18" name="Rounded Rectangle 17">
          <a:extLst>
            <a:ext uri="{FF2B5EF4-FFF2-40B4-BE49-F238E27FC236}">
              <a16:creationId xmlns:a16="http://schemas.microsoft.com/office/drawing/2014/main" id="{00000000-0008-0000-0800-000012000000}"/>
            </a:ext>
          </a:extLst>
        </xdr:cNvPr>
        <xdr:cNvSpPr/>
      </xdr:nvSpPr>
      <xdr:spPr>
        <a:xfrm>
          <a:off x="857249" y="1971676"/>
          <a:ext cx="9067801" cy="1257300"/>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b="0" baseline="0">
              <a:solidFill>
                <a:sysClr val="windowText" lastClr="000000"/>
              </a:solidFill>
              <a:latin typeface="+mn-lt"/>
              <a:ea typeface="+mn-ea"/>
              <a:cs typeface="+mn-cs"/>
            </a:rPr>
            <a:t>In this sheet you need to enter </a:t>
          </a:r>
          <a:r>
            <a:rPr lang="en-US" sz="1400" b="1" baseline="0">
              <a:solidFill>
                <a:sysClr val="windowText" lastClr="000000"/>
              </a:solidFill>
              <a:latin typeface="+mn-lt"/>
              <a:ea typeface="+mn-ea"/>
              <a:cs typeface="+mn-cs"/>
            </a:rPr>
            <a:t>Standing volume </a:t>
          </a:r>
          <a:r>
            <a:rPr lang="en-US" sz="1400" b="0" baseline="0">
              <a:solidFill>
                <a:sysClr val="windowText" lastClr="000000"/>
              </a:solidFill>
              <a:latin typeface="+mn-lt"/>
              <a:ea typeface="+mn-ea"/>
              <a:cs typeface="+mn-cs"/>
            </a:rPr>
            <a:t>for the </a:t>
          </a:r>
          <a:r>
            <a:rPr lang="en-US" sz="1400" b="1" baseline="0">
              <a:solidFill>
                <a:sysClr val="windowText" lastClr="000000"/>
              </a:solidFill>
              <a:latin typeface="+mn-lt"/>
              <a:ea typeface="+mn-ea"/>
              <a:cs typeface="+mn-cs"/>
            </a:rPr>
            <a:t>Species</a:t>
          </a:r>
          <a:r>
            <a:rPr lang="en-US" sz="1400" b="0" baseline="0">
              <a:solidFill>
                <a:sysClr val="windowText" lastClr="000000"/>
              </a:solidFill>
              <a:latin typeface="+mn-lt"/>
              <a:ea typeface="+mn-ea"/>
              <a:cs typeface="+mn-cs"/>
            </a:rPr>
            <a:t> and </a:t>
          </a:r>
          <a:r>
            <a:rPr lang="en-US" sz="1400" b="1" baseline="0">
              <a:solidFill>
                <a:sysClr val="windowText" lastClr="000000"/>
              </a:solidFill>
              <a:latin typeface="+mn-lt"/>
              <a:ea typeface="+mn-ea"/>
              <a:cs typeface="+mn-cs"/>
            </a:rPr>
            <a:t>Strata</a:t>
          </a:r>
          <a:r>
            <a:rPr lang="en-US" sz="1400" b="0" baseline="0">
              <a:solidFill>
                <a:sysClr val="windowText" lastClr="000000"/>
              </a:solidFill>
              <a:latin typeface="+mn-lt"/>
              <a:ea typeface="+mn-ea"/>
              <a:cs typeface="+mn-cs"/>
            </a:rPr>
            <a:t> that you entered under </a:t>
          </a:r>
          <a:r>
            <a:rPr lang="en-US" sz="1400" b="1" baseline="0">
              <a:solidFill>
                <a:sysClr val="windowText" lastClr="000000"/>
              </a:solidFill>
              <a:latin typeface="+mn-lt"/>
              <a:ea typeface="+mn-ea"/>
              <a:cs typeface="+mn-cs"/>
            </a:rPr>
            <a:t>General information</a:t>
          </a:r>
          <a:r>
            <a:rPr lang="en-US" sz="1400" b="0" baseline="0">
              <a:solidFill>
                <a:sysClr val="windowText" lastClr="000000"/>
              </a:solidFill>
              <a:latin typeface="+mn-lt"/>
              <a:ea typeface="+mn-ea"/>
              <a:cs typeface="+mn-cs"/>
            </a:rPr>
            <a:t>. </a:t>
          </a:r>
        </a:p>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b="0" baseline="0">
              <a:solidFill>
                <a:sysClr val="windowText" lastClr="000000"/>
              </a:solidFill>
              <a:latin typeface="+mn-lt"/>
              <a:ea typeface="+mn-ea"/>
              <a:cs typeface="+mn-cs"/>
            </a:rPr>
            <a:t>If you also want to use the </a:t>
          </a:r>
          <a:r>
            <a:rPr lang="en-US" sz="1400" b="1" baseline="0">
              <a:solidFill>
                <a:sysClr val="windowText" lastClr="000000"/>
              </a:solidFill>
              <a:latin typeface="+mn-lt"/>
              <a:ea typeface="+mn-ea"/>
              <a:cs typeface="+mn-cs"/>
            </a:rPr>
            <a:t>Simulation tool</a:t>
          </a:r>
          <a:r>
            <a:rPr lang="en-US" sz="1400" b="0" baseline="0">
              <a:solidFill>
                <a:sysClr val="windowText" lastClr="000000"/>
              </a:solidFill>
              <a:latin typeface="+mn-lt"/>
              <a:ea typeface="+mn-ea"/>
              <a:cs typeface="+mn-cs"/>
            </a:rPr>
            <a:t>, enter the specific age for each stratum at the time of inventory, or the average age for mixed forests.</a:t>
          </a:r>
        </a:p>
      </xdr:txBody>
    </xdr:sp>
    <xdr:clientData/>
  </xdr:twoCellAnchor>
  <xdr:twoCellAnchor editAs="absolute">
    <xdr:from>
      <xdr:col>5</xdr:col>
      <xdr:colOff>1495425</xdr:colOff>
      <xdr:row>0</xdr:row>
      <xdr:rowOff>742950</xdr:rowOff>
    </xdr:from>
    <xdr:to>
      <xdr:col>7</xdr:col>
      <xdr:colOff>504825</xdr:colOff>
      <xdr:row>0</xdr:row>
      <xdr:rowOff>1028700</xdr:rowOff>
    </xdr:to>
    <xdr:sp macro="[0]!delete_rows" textlink="">
      <xdr:nvSpPr>
        <xdr:cNvPr id="19" name="Rounded Rectangle 18">
          <a:extLst>
            <a:ext uri="{FF2B5EF4-FFF2-40B4-BE49-F238E27FC236}">
              <a16:creationId xmlns:a16="http://schemas.microsoft.com/office/drawing/2014/main" id="{00000000-0008-0000-0800-000013000000}"/>
            </a:ext>
          </a:extLst>
        </xdr:cNvPr>
        <xdr:cNvSpPr/>
      </xdr:nvSpPr>
      <xdr:spPr>
        <a:xfrm>
          <a:off x="5238750" y="742950"/>
          <a:ext cx="1533525" cy="285750"/>
        </a:xfrm>
        <a:prstGeom prst="roundRect">
          <a:avLst/>
        </a:prstGeom>
        <a:ln>
          <a:noFill/>
        </a:ln>
        <a:scene3d>
          <a:camera prst="orthographicFront"/>
          <a:lightRig rig="threePt" dir="t"/>
        </a:scene3d>
        <a:sp3d prstMaterial="dkEdge">
          <a:bevelT/>
          <a:bevelB/>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IN" sz="1100"/>
            <a:t>Delete Selected Rows</a:t>
          </a:r>
        </a:p>
      </xdr:txBody>
    </xdr:sp>
    <xdr:clientData/>
  </xdr:twoCellAnchor>
  <xdr:twoCellAnchor>
    <xdr:from>
      <xdr:col>0</xdr:col>
      <xdr:colOff>38100</xdr:colOff>
      <xdr:row>0</xdr:row>
      <xdr:rowOff>28740</xdr:rowOff>
    </xdr:from>
    <xdr:to>
      <xdr:col>7</xdr:col>
      <xdr:colOff>1152525</xdr:colOff>
      <xdr:row>0</xdr:row>
      <xdr:rowOff>1457324</xdr:rowOff>
    </xdr:to>
    <xdr:grpSp>
      <xdr:nvGrpSpPr>
        <xdr:cNvPr id="2" name="Group 1">
          <a:extLst>
            <a:ext uri="{FF2B5EF4-FFF2-40B4-BE49-F238E27FC236}">
              <a16:creationId xmlns:a16="http://schemas.microsoft.com/office/drawing/2014/main" id="{00000000-0008-0000-0800-000002000000}"/>
            </a:ext>
          </a:extLst>
        </xdr:cNvPr>
        <xdr:cNvGrpSpPr/>
      </xdr:nvGrpSpPr>
      <xdr:grpSpPr>
        <a:xfrm>
          <a:off x="38100" y="28740"/>
          <a:ext cx="7372350" cy="1428584"/>
          <a:chOff x="37683" y="28740"/>
          <a:chExt cx="7458050" cy="1428584"/>
        </a:xfrm>
      </xdr:grpSpPr>
      <xdr:sp macro="" textlink="">
        <xdr:nvSpPr>
          <xdr:cNvPr id="25" name="24 Proceso alternativo">
            <a:extLst>
              <a:ext uri="{FF2B5EF4-FFF2-40B4-BE49-F238E27FC236}">
                <a16:creationId xmlns:a16="http://schemas.microsoft.com/office/drawing/2014/main" id="{00000000-0008-0000-0800-000019000000}"/>
              </a:ext>
            </a:extLst>
          </xdr:cNvPr>
          <xdr:cNvSpPr/>
        </xdr:nvSpPr>
        <xdr:spPr>
          <a:xfrm>
            <a:off x="37683" y="83937"/>
            <a:ext cx="3033036"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33" name="32 Rectángulo redondeado">
            <a:hlinkClick xmlns:r="http://schemas.openxmlformats.org/officeDocument/2006/relationships" r:id="rId1"/>
            <a:extLst>
              <a:ext uri="{FF2B5EF4-FFF2-40B4-BE49-F238E27FC236}">
                <a16:creationId xmlns:a16="http://schemas.microsoft.com/office/drawing/2014/main" id="{00000000-0008-0000-0800-000021000000}"/>
              </a:ext>
            </a:extLst>
          </xdr:cNvPr>
          <xdr:cNvSpPr/>
        </xdr:nvSpPr>
        <xdr:spPr>
          <a:xfrm>
            <a:off x="3124134" y="130319"/>
            <a:ext cx="1710537"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36" name="35 Rectángulo redondeado">
            <a:hlinkClick xmlns:r="http://schemas.openxmlformats.org/officeDocument/2006/relationships" r:id="rId2"/>
            <a:extLst>
              <a:ext uri="{FF2B5EF4-FFF2-40B4-BE49-F238E27FC236}">
                <a16:creationId xmlns:a16="http://schemas.microsoft.com/office/drawing/2014/main" id="{00000000-0008-0000-0800-000024000000}"/>
              </a:ext>
            </a:extLst>
          </xdr:cNvPr>
          <xdr:cNvSpPr>
            <a:spLocks/>
          </xdr:cNvSpPr>
        </xdr:nvSpPr>
        <xdr:spPr>
          <a:xfrm>
            <a:off x="197716" y="1198681"/>
            <a:ext cx="1549833"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000">
                <a:solidFill>
                  <a:sysClr val="windowText" lastClr="000000"/>
                </a:solidFill>
              </a:rPr>
              <a:t>Inventory</a:t>
            </a:r>
            <a:r>
              <a:rPr lang="de-DE" sz="1000" baseline="0">
                <a:solidFill>
                  <a:sysClr val="windowText" lastClr="000000"/>
                </a:solidFill>
              </a:rPr>
              <a:t> d</a:t>
            </a:r>
            <a:r>
              <a:rPr lang="de-DE" sz="1000">
                <a:solidFill>
                  <a:sysClr val="windowText" lastClr="000000"/>
                </a:solidFill>
              </a:rPr>
              <a:t>ata</a:t>
            </a:r>
          </a:p>
        </xdr:txBody>
      </xdr:sp>
      <xdr:sp macro="" textlink="">
        <xdr:nvSpPr>
          <xdr:cNvPr id="45" name="44 Rectángulo redondeado">
            <a:hlinkClick xmlns:r="http://schemas.openxmlformats.org/officeDocument/2006/relationships" r:id="rId3"/>
            <a:extLst>
              <a:ext uri="{FF2B5EF4-FFF2-40B4-BE49-F238E27FC236}">
                <a16:creationId xmlns:a16="http://schemas.microsoft.com/office/drawing/2014/main" id="{00000000-0008-0000-0800-00002D000000}"/>
              </a:ext>
            </a:extLst>
          </xdr:cNvPr>
          <xdr:cNvSpPr>
            <a:spLocks/>
          </xdr:cNvSpPr>
        </xdr:nvSpPr>
        <xdr:spPr>
          <a:xfrm>
            <a:off x="1821668" y="1189155"/>
            <a:ext cx="1468084" cy="268169"/>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Monitoring</a:t>
            </a:r>
            <a:r>
              <a:rPr lang="de-DE" sz="1000" baseline="0">
                <a:solidFill>
                  <a:sysClr val="windowText" lastClr="000000"/>
                </a:solidFill>
                <a:latin typeface="+mn-lt"/>
                <a:ea typeface="+mn-ea"/>
                <a:cs typeface="+mn-cs"/>
              </a:rPr>
              <a:t> results</a:t>
            </a:r>
            <a:endParaRPr lang="de-DE" sz="1000">
              <a:solidFill>
                <a:sysClr val="windowText" lastClr="000000"/>
              </a:solidFill>
              <a:latin typeface="+mn-lt"/>
              <a:ea typeface="+mn-ea"/>
              <a:cs typeface="+mn-cs"/>
            </a:endParaRPr>
          </a:p>
        </xdr:txBody>
      </xdr:sp>
      <xdr:pic>
        <xdr:nvPicPr>
          <xdr:cNvPr id="49" name="Picture 1">
            <a:extLst>
              <a:ext uri="{FF2B5EF4-FFF2-40B4-BE49-F238E27FC236}">
                <a16:creationId xmlns:a16="http://schemas.microsoft.com/office/drawing/2014/main" id="{00000000-0008-0000-0800-000031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6520004" y="28740"/>
            <a:ext cx="975729" cy="485609"/>
          </a:xfrm>
          <a:prstGeom prst="rect">
            <a:avLst/>
          </a:prstGeom>
          <a:noFill/>
          <a:ln w="1">
            <a:noFill/>
            <a:miter lim="800000"/>
            <a:headEnd/>
            <a:tailEnd type="none" w="med" len="med"/>
          </a:ln>
          <a:effectLst/>
        </xdr:spPr>
      </xdr:pic>
      <xdr:sp macro="" textlink="">
        <xdr:nvSpPr>
          <xdr:cNvPr id="20" name="58 Rectángulo redondeado">
            <a:extLst>
              <a:ext uri="{FF2B5EF4-FFF2-40B4-BE49-F238E27FC236}">
                <a16:creationId xmlns:a16="http://schemas.microsoft.com/office/drawing/2014/main" id="{00000000-0008-0000-0800-000014000000}"/>
              </a:ext>
            </a:extLst>
          </xdr:cNvPr>
          <xdr:cNvSpPr/>
        </xdr:nvSpPr>
        <xdr:spPr>
          <a:xfrm>
            <a:off x="171450"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21" name="60 Rectángulo redondeado">
            <a:hlinkClick xmlns:r="http://schemas.openxmlformats.org/officeDocument/2006/relationships" r:id="rId5"/>
            <a:extLst>
              <a:ext uri="{FF2B5EF4-FFF2-40B4-BE49-F238E27FC236}">
                <a16:creationId xmlns:a16="http://schemas.microsoft.com/office/drawing/2014/main" id="{00000000-0008-0000-0800-000015000000}"/>
              </a:ext>
            </a:extLst>
          </xdr:cNvPr>
          <xdr:cNvSpPr/>
        </xdr:nvSpPr>
        <xdr:spPr>
          <a:xfrm>
            <a:off x="236938"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22" name="58 Rectángulo redondeado">
            <a:extLst>
              <a:ext uri="{FF2B5EF4-FFF2-40B4-BE49-F238E27FC236}">
                <a16:creationId xmlns:a16="http://schemas.microsoft.com/office/drawing/2014/main" id="{00000000-0008-0000-0800-000016000000}"/>
              </a:ext>
            </a:extLst>
          </xdr:cNvPr>
          <xdr:cNvSpPr/>
        </xdr:nvSpPr>
        <xdr:spPr>
          <a:xfrm>
            <a:off x="3451625"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23" name="58 Rectángulo redondeado">
            <a:extLst>
              <a:ext uri="{FF2B5EF4-FFF2-40B4-BE49-F238E27FC236}">
                <a16:creationId xmlns:a16="http://schemas.microsoft.com/office/drawing/2014/main" id="{00000000-0008-0000-0800-000017000000}"/>
              </a:ext>
            </a:extLst>
          </xdr:cNvPr>
          <xdr:cNvSpPr/>
        </xdr:nvSpPr>
        <xdr:spPr>
          <a:xfrm>
            <a:off x="1811538" y="581025"/>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24" name="62 Rectángulo redondeado">
            <a:hlinkClick xmlns:r="http://schemas.openxmlformats.org/officeDocument/2006/relationships" r:id="rId6"/>
            <a:extLst>
              <a:ext uri="{FF2B5EF4-FFF2-40B4-BE49-F238E27FC236}">
                <a16:creationId xmlns:a16="http://schemas.microsoft.com/office/drawing/2014/main" id="{00000000-0008-0000-0800-000018000000}"/>
              </a:ext>
            </a:extLst>
          </xdr:cNvPr>
          <xdr:cNvSpPr/>
        </xdr:nvSpPr>
        <xdr:spPr>
          <a:xfrm>
            <a:off x="1902765" y="668551"/>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32" name="66 Rectángulo redondeado">
            <a:hlinkClick xmlns:r="http://schemas.openxmlformats.org/officeDocument/2006/relationships" r:id="rId7"/>
            <a:extLst>
              <a:ext uri="{FF2B5EF4-FFF2-40B4-BE49-F238E27FC236}">
                <a16:creationId xmlns:a16="http://schemas.microsoft.com/office/drawing/2014/main" id="{00000000-0008-0000-0800-000020000000}"/>
              </a:ext>
            </a:extLst>
          </xdr:cNvPr>
          <xdr:cNvSpPr/>
        </xdr:nvSpPr>
        <xdr:spPr>
          <a:xfrm>
            <a:off x="3558020"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grpSp>
    <xdr:clientData/>
  </xdr:twoCellAnchor>
  <xdr:twoCellAnchor>
    <xdr:from>
      <xdr:col>5</xdr:col>
      <xdr:colOff>1076325</xdr:colOff>
      <xdr:row>0</xdr:row>
      <xdr:rowOff>123825</xdr:rowOff>
    </xdr:from>
    <xdr:to>
      <xdr:col>6</xdr:col>
      <xdr:colOff>538512</xdr:colOff>
      <xdr:row>0</xdr:row>
      <xdr:rowOff>381000</xdr:rowOff>
    </xdr:to>
    <xdr:sp macro="" textlink="">
      <xdr:nvSpPr>
        <xdr:cNvPr id="27" name="32 Rectángulo redondeado">
          <a:hlinkClick xmlns:r="http://schemas.openxmlformats.org/officeDocument/2006/relationships" r:id="rId8"/>
          <a:extLst>
            <a:ext uri="{FF2B5EF4-FFF2-40B4-BE49-F238E27FC236}">
              <a16:creationId xmlns:a16="http://schemas.microsoft.com/office/drawing/2014/main" id="{00000000-0008-0000-0800-00001B000000}"/>
            </a:ext>
          </a:extLst>
        </xdr:cNvPr>
        <xdr:cNvSpPr>
          <a:spLocks/>
        </xdr:cNvSpPr>
      </xdr:nvSpPr>
      <xdr:spPr>
        <a:xfrm>
          <a:off x="4819650" y="123825"/>
          <a:ext cx="1252887" cy="257175"/>
        </a:xfrm>
        <a:prstGeom prst="roundRect">
          <a:avLst/>
        </a:prstGeom>
        <a:gradFill rotWithShape="1">
          <a:gsLst>
            <a:gs pos="0">
              <a:srgbClr val="6E6E6E">
                <a:tint val="50000"/>
                <a:satMod val="300000"/>
              </a:srgbClr>
            </a:gs>
            <a:gs pos="35000">
              <a:srgbClr val="6E6E6E">
                <a:tint val="37000"/>
                <a:satMod val="300000"/>
              </a:srgbClr>
            </a:gs>
            <a:gs pos="100000">
              <a:srgbClr val="6E6E6E">
                <a:tint val="15000"/>
                <a:satMod val="350000"/>
              </a:srgbClr>
            </a:gs>
          </a:gsLst>
          <a:lin ang="16200000" scaled="1"/>
        </a:gradFill>
        <a:ln w="9525" cap="flat" cmpd="sng" algn="ctr">
          <a:solidFill>
            <a:srgbClr val="6E6E6E">
              <a:shade val="95000"/>
              <a:satMod val="105000"/>
            </a:srgbClr>
          </a:solidFill>
          <a:prstDash val="solid"/>
        </a:ln>
        <a:effectLst>
          <a:outerShdw blurRad="40000" dist="20000" dir="5400000" rotWithShape="0">
            <a:srgbClr val="000000">
              <a:alpha val="38000"/>
            </a:srgbClr>
          </a:outerShdw>
        </a:effectLst>
      </xdr:spPr>
      <xdr:txBody>
        <a:bodyPr vertOverflow="clip" lIns="36000" tIns="36000" rIns="36000" bIns="36000" rtlCol="0" anchor="t">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de-DE" sz="1000" b="0" i="0" u="none" strike="noStrike" kern="0" cap="none" spc="0" normalizeH="0" baseline="0" noProof="0">
              <a:ln>
                <a:noFill/>
              </a:ln>
              <a:solidFill>
                <a:sysClr val="windowText" lastClr="000000"/>
              </a:solidFill>
              <a:effectLst/>
              <a:uLnTx/>
              <a:uFillTx/>
              <a:latin typeface="Calibri"/>
              <a:ea typeface="+mn-ea"/>
              <a:cs typeface="+mn-cs"/>
            </a:rPr>
            <a:t>About this tool</a:t>
          </a:r>
        </a:p>
      </xdr:txBody>
    </xdr:sp>
    <xdr:clientData/>
  </xdr:twoCellAnchor>
  <xdr:twoCellAnchor editAs="oneCell">
    <xdr:from>
      <xdr:col>7</xdr:col>
      <xdr:colOff>1197948</xdr:colOff>
      <xdr:row>0</xdr:row>
      <xdr:rowOff>19215</xdr:rowOff>
    </xdr:from>
    <xdr:to>
      <xdr:col>32</xdr:col>
      <xdr:colOff>73998</xdr:colOff>
      <xdr:row>0</xdr:row>
      <xdr:rowOff>524040</xdr:rowOff>
    </xdr:to>
    <xdr:pic>
      <xdr:nvPicPr>
        <xdr:cNvPr id="26" name="Picture 25">
          <a:extLst>
            <a:ext uri="{FF2B5EF4-FFF2-40B4-BE49-F238E27FC236}">
              <a16:creationId xmlns:a16="http://schemas.microsoft.com/office/drawing/2014/main" id="{00000000-0008-0000-0800-00001A000000}"/>
            </a:ext>
          </a:extLst>
        </xdr:cNvPr>
        <xdr:cNvPicPr>
          <a:picLocks noChangeAspect="1" noChangeArrowheads="1"/>
        </xdr:cNvPicPr>
      </xdr:nvPicPr>
      <xdr:blipFill>
        <a:blip xmlns:r="http://schemas.openxmlformats.org/officeDocument/2006/relationships" r:embed="rId9" cstate="email">
          <a:extLst>
            <a:ext uri="{28A0092B-C50C-407E-A947-70E740481C1C}">
              <a14:useLocalDpi xmlns:a14="http://schemas.microsoft.com/office/drawing/2010/main"/>
            </a:ext>
          </a:extLst>
        </a:blip>
        <a:srcRect/>
        <a:stretch>
          <a:fillRect/>
        </a:stretch>
      </xdr:blipFill>
      <xdr:spPr bwMode="auto">
        <a:xfrm>
          <a:off x="7455873" y="19215"/>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8</xdr:col>
      <xdr:colOff>0</xdr:colOff>
      <xdr:row>27</xdr:row>
      <xdr:rowOff>0</xdr:rowOff>
    </xdr:from>
    <xdr:to>
      <xdr:col>11</xdr:col>
      <xdr:colOff>787400</xdr:colOff>
      <xdr:row>36</xdr:row>
      <xdr:rowOff>161926</xdr:rowOff>
    </xdr:to>
    <xdr:graphicFrame macro="">
      <xdr:nvGraphicFramePr>
        <xdr:cNvPr id="6" name="Chart 5">
          <a:extLst>
            <a:ext uri="{FF2B5EF4-FFF2-40B4-BE49-F238E27FC236}">
              <a16:creationId xmlns:a16="http://schemas.microsoft.com/office/drawing/2014/main" id="{00000000-0008-0000-0A00-000006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oneCellAnchor>
    <xdr:from>
      <xdr:col>4</xdr:col>
      <xdr:colOff>1123950</xdr:colOff>
      <xdr:row>18</xdr:row>
      <xdr:rowOff>152400</xdr:rowOff>
    </xdr:from>
    <xdr:ext cx="184731" cy="264560"/>
    <xdr:sp macro="" textlink="">
      <xdr:nvSpPr>
        <xdr:cNvPr id="31" name="TextBox 30">
          <a:extLst>
            <a:ext uri="{FF2B5EF4-FFF2-40B4-BE49-F238E27FC236}">
              <a16:creationId xmlns:a16="http://schemas.microsoft.com/office/drawing/2014/main" id="{00000000-0008-0000-0A00-00001F000000}"/>
            </a:ext>
          </a:extLst>
        </xdr:cNvPr>
        <xdr:cNvSpPr txBox="1"/>
      </xdr:nvSpPr>
      <xdr:spPr>
        <a:xfrm>
          <a:off x="4705350" y="280035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n-US" sz="1100"/>
        </a:p>
      </xdr:txBody>
    </xdr:sp>
    <xdr:clientData/>
  </xdr:oneCellAnchor>
  <xdr:twoCellAnchor>
    <xdr:from>
      <xdr:col>6</xdr:col>
      <xdr:colOff>307181</xdr:colOff>
      <xdr:row>42</xdr:row>
      <xdr:rowOff>197643</xdr:rowOff>
    </xdr:from>
    <xdr:to>
      <xdr:col>8</xdr:col>
      <xdr:colOff>792956</xdr:colOff>
      <xdr:row>49</xdr:row>
      <xdr:rowOff>360337</xdr:rowOff>
    </xdr:to>
    <xdr:graphicFrame macro="">
      <xdr:nvGraphicFramePr>
        <xdr:cNvPr id="29" name="Chart 28">
          <a:extLst>
            <a:ext uri="{FF2B5EF4-FFF2-40B4-BE49-F238E27FC236}">
              <a16:creationId xmlns:a16="http://schemas.microsoft.com/office/drawing/2014/main" id="{00000000-0008-0000-0A00-00001D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57150</xdr:colOff>
      <xdr:row>0</xdr:row>
      <xdr:rowOff>38266</xdr:rowOff>
    </xdr:from>
    <xdr:to>
      <xdr:col>5</xdr:col>
      <xdr:colOff>2241098</xdr:colOff>
      <xdr:row>0</xdr:row>
      <xdr:rowOff>1552575</xdr:rowOff>
    </xdr:to>
    <xdr:grpSp>
      <xdr:nvGrpSpPr>
        <xdr:cNvPr id="25" name="Group 24">
          <a:extLst>
            <a:ext uri="{FF2B5EF4-FFF2-40B4-BE49-F238E27FC236}">
              <a16:creationId xmlns:a16="http://schemas.microsoft.com/office/drawing/2014/main" id="{00000000-0008-0000-0A00-000019000000}"/>
            </a:ext>
          </a:extLst>
        </xdr:cNvPr>
        <xdr:cNvGrpSpPr/>
      </xdr:nvGrpSpPr>
      <xdr:grpSpPr>
        <a:xfrm>
          <a:off x="57150" y="38266"/>
          <a:ext cx="7975148" cy="1514309"/>
          <a:chOff x="73998" y="38266"/>
          <a:chExt cx="7790102" cy="1514309"/>
        </a:xfrm>
      </xdr:grpSpPr>
      <xdr:sp macro="" textlink="">
        <xdr:nvSpPr>
          <xdr:cNvPr id="26" name="24 Proceso alternativo">
            <a:extLst>
              <a:ext uri="{FF2B5EF4-FFF2-40B4-BE49-F238E27FC236}">
                <a16:creationId xmlns:a16="http://schemas.microsoft.com/office/drawing/2014/main" id="{00000000-0008-0000-0A00-00001A000000}"/>
              </a:ext>
            </a:extLst>
          </xdr:cNvPr>
          <xdr:cNvSpPr/>
        </xdr:nvSpPr>
        <xdr:spPr>
          <a:xfrm>
            <a:off x="73998" y="83937"/>
            <a:ext cx="2971902"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7" name="32 Rectángulo redondeado">
            <a:hlinkClick xmlns:r="http://schemas.openxmlformats.org/officeDocument/2006/relationships" r:id="rId3"/>
            <a:extLst>
              <a:ext uri="{FF2B5EF4-FFF2-40B4-BE49-F238E27FC236}">
                <a16:creationId xmlns:a16="http://schemas.microsoft.com/office/drawing/2014/main" id="{00000000-0008-0000-0A00-00001B000000}"/>
              </a:ext>
            </a:extLst>
          </xdr:cNvPr>
          <xdr:cNvSpPr/>
        </xdr:nvSpPr>
        <xdr:spPr>
          <a:xfrm>
            <a:off x="3136888" y="89647"/>
            <a:ext cx="1805562" cy="324971"/>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30" name="35 Rectángulo redondeado">
            <a:hlinkClick xmlns:r="http://schemas.openxmlformats.org/officeDocument/2006/relationships" r:id="rId4"/>
            <a:extLst>
              <a:ext uri="{FF2B5EF4-FFF2-40B4-BE49-F238E27FC236}">
                <a16:creationId xmlns:a16="http://schemas.microsoft.com/office/drawing/2014/main" id="{00000000-0008-0000-0A00-00001E000000}"/>
              </a:ext>
            </a:extLst>
          </xdr:cNvPr>
          <xdr:cNvSpPr>
            <a:spLocks/>
          </xdr:cNvSpPr>
        </xdr:nvSpPr>
        <xdr:spPr>
          <a:xfrm>
            <a:off x="136541" y="1216959"/>
            <a:ext cx="1556230" cy="326091"/>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200">
                <a:solidFill>
                  <a:sysClr val="windowText" lastClr="000000"/>
                </a:solidFill>
              </a:rPr>
              <a:t>Inventory</a:t>
            </a:r>
            <a:r>
              <a:rPr lang="de-DE" sz="1200" baseline="0">
                <a:solidFill>
                  <a:sysClr val="windowText" lastClr="000000"/>
                </a:solidFill>
              </a:rPr>
              <a:t> d</a:t>
            </a:r>
            <a:r>
              <a:rPr lang="de-DE" sz="1200">
                <a:solidFill>
                  <a:sysClr val="windowText" lastClr="000000"/>
                </a:solidFill>
              </a:rPr>
              <a:t>ata</a:t>
            </a:r>
          </a:p>
        </xdr:txBody>
      </xdr:sp>
      <xdr:sp macro="" textlink="">
        <xdr:nvSpPr>
          <xdr:cNvPr id="47" name="44 Rectángulo redondeado">
            <a:hlinkClick xmlns:r="http://schemas.openxmlformats.org/officeDocument/2006/relationships" r:id="rId5"/>
            <a:extLst>
              <a:ext uri="{FF2B5EF4-FFF2-40B4-BE49-F238E27FC236}">
                <a16:creationId xmlns:a16="http://schemas.microsoft.com/office/drawing/2014/main" id="{00000000-0008-0000-0A00-00002F000000}"/>
              </a:ext>
            </a:extLst>
          </xdr:cNvPr>
          <xdr:cNvSpPr>
            <a:spLocks/>
          </xdr:cNvSpPr>
        </xdr:nvSpPr>
        <xdr:spPr>
          <a:xfrm>
            <a:off x="1872466" y="1199590"/>
            <a:ext cx="1541413" cy="35298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marL="0" indent="0" algn="ctr"/>
            <a:r>
              <a:rPr lang="de-DE" sz="1100">
                <a:solidFill>
                  <a:sysClr val="windowText" lastClr="000000"/>
                </a:solidFill>
                <a:latin typeface="+mn-lt"/>
                <a:ea typeface="+mn-ea"/>
                <a:cs typeface="+mn-cs"/>
              </a:rPr>
              <a:t>Monitoring</a:t>
            </a:r>
            <a:r>
              <a:rPr lang="de-DE" sz="1100" baseline="0">
                <a:solidFill>
                  <a:sysClr val="windowText" lastClr="000000"/>
                </a:solidFill>
                <a:latin typeface="+mn-lt"/>
                <a:ea typeface="+mn-ea"/>
                <a:cs typeface="+mn-cs"/>
              </a:rPr>
              <a:t> results</a:t>
            </a:r>
            <a:endParaRPr lang="de-DE" sz="1100">
              <a:solidFill>
                <a:sysClr val="windowText" lastClr="000000"/>
              </a:solidFill>
              <a:latin typeface="+mn-lt"/>
              <a:ea typeface="+mn-ea"/>
              <a:cs typeface="+mn-cs"/>
            </a:endParaRPr>
          </a:p>
        </xdr:txBody>
      </xdr:sp>
      <xdr:pic>
        <xdr:nvPicPr>
          <xdr:cNvPr id="48" name="Picture 1">
            <a:extLst>
              <a:ext uri="{FF2B5EF4-FFF2-40B4-BE49-F238E27FC236}">
                <a16:creationId xmlns:a16="http://schemas.microsoft.com/office/drawing/2014/main" id="{00000000-0008-0000-0A00-000030000000}"/>
              </a:ext>
            </a:extLst>
          </xdr:cNvPr>
          <xdr:cNvPicPr>
            <a:picLocks noChangeAspect="1" noChangeArrowheads="1"/>
          </xdr:cNvPicPr>
        </xdr:nvPicPr>
        <xdr:blipFill>
          <a:blip xmlns:r="http://schemas.openxmlformats.org/officeDocument/2006/relationships" r:embed="rId6" cstate="print"/>
          <a:srcRect/>
          <a:stretch>
            <a:fillRect/>
          </a:stretch>
        </xdr:blipFill>
        <xdr:spPr bwMode="auto">
          <a:xfrm>
            <a:off x="6786720" y="38266"/>
            <a:ext cx="1077380" cy="566852"/>
          </a:xfrm>
          <a:prstGeom prst="rect">
            <a:avLst/>
          </a:prstGeom>
          <a:noFill/>
          <a:ln w="1">
            <a:noFill/>
            <a:miter lim="800000"/>
            <a:headEnd/>
            <a:tailEnd type="none" w="med" len="med"/>
          </a:ln>
          <a:effectLst/>
        </xdr:spPr>
      </xdr:pic>
      <xdr:sp macro="" textlink="">
        <xdr:nvSpPr>
          <xdr:cNvPr id="50" name="58 Rectángulo redondeado">
            <a:extLst>
              <a:ext uri="{FF2B5EF4-FFF2-40B4-BE49-F238E27FC236}">
                <a16:creationId xmlns:a16="http://schemas.microsoft.com/office/drawing/2014/main" id="{00000000-0008-0000-0A00-000032000000}"/>
              </a:ext>
            </a:extLst>
          </xdr:cNvPr>
          <xdr:cNvSpPr/>
        </xdr:nvSpPr>
        <xdr:spPr>
          <a:xfrm>
            <a:off x="83846" y="581025"/>
            <a:ext cx="1671604"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51" name="60 Rectángulo redondeado">
            <a:hlinkClick xmlns:r="http://schemas.openxmlformats.org/officeDocument/2006/relationships" r:id="rId7"/>
            <a:extLst>
              <a:ext uri="{FF2B5EF4-FFF2-40B4-BE49-F238E27FC236}">
                <a16:creationId xmlns:a16="http://schemas.microsoft.com/office/drawing/2014/main" id="{00000000-0008-0000-0A00-000033000000}"/>
              </a:ext>
            </a:extLst>
          </xdr:cNvPr>
          <xdr:cNvSpPr/>
        </xdr:nvSpPr>
        <xdr:spPr>
          <a:xfrm>
            <a:off x="193165" y="657345"/>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52" name="58 Rectángulo redondeado">
            <a:extLst>
              <a:ext uri="{FF2B5EF4-FFF2-40B4-BE49-F238E27FC236}">
                <a16:creationId xmlns:a16="http://schemas.microsoft.com/office/drawing/2014/main" id="{00000000-0008-0000-0A00-000034000000}"/>
              </a:ext>
            </a:extLst>
          </xdr:cNvPr>
          <xdr:cNvSpPr/>
        </xdr:nvSpPr>
        <xdr:spPr>
          <a:xfrm>
            <a:off x="3640257" y="581025"/>
            <a:ext cx="1925931"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53" name="58 Rectángulo redondeado">
            <a:extLst>
              <a:ext uri="{FF2B5EF4-FFF2-40B4-BE49-F238E27FC236}">
                <a16:creationId xmlns:a16="http://schemas.microsoft.com/office/drawing/2014/main" id="{00000000-0008-0000-0A00-000035000000}"/>
              </a:ext>
            </a:extLst>
          </xdr:cNvPr>
          <xdr:cNvSpPr/>
        </xdr:nvSpPr>
        <xdr:spPr>
          <a:xfrm>
            <a:off x="1811537" y="581025"/>
            <a:ext cx="1741176"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54" name="62 Rectángulo redondeado">
            <a:hlinkClick xmlns:r="http://schemas.openxmlformats.org/officeDocument/2006/relationships" r:id="rId8"/>
            <a:extLst>
              <a:ext uri="{FF2B5EF4-FFF2-40B4-BE49-F238E27FC236}">
                <a16:creationId xmlns:a16="http://schemas.microsoft.com/office/drawing/2014/main" id="{00000000-0008-0000-0A00-000036000000}"/>
              </a:ext>
            </a:extLst>
          </xdr:cNvPr>
          <xdr:cNvSpPr/>
        </xdr:nvSpPr>
        <xdr:spPr>
          <a:xfrm>
            <a:off x="1933179" y="649941"/>
            <a:ext cx="1461128" cy="353816"/>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55" name="66 Rectángulo redondeado">
            <a:hlinkClick xmlns:r="http://schemas.openxmlformats.org/officeDocument/2006/relationships" r:id="rId9"/>
            <a:extLst>
              <a:ext uri="{FF2B5EF4-FFF2-40B4-BE49-F238E27FC236}">
                <a16:creationId xmlns:a16="http://schemas.microsoft.com/office/drawing/2014/main" id="{00000000-0008-0000-0A00-000037000000}"/>
              </a:ext>
            </a:extLst>
          </xdr:cNvPr>
          <xdr:cNvSpPr/>
        </xdr:nvSpPr>
        <xdr:spPr>
          <a:xfrm>
            <a:off x="3798762" y="668551"/>
            <a:ext cx="1636113"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Simulation Tool</a:t>
            </a:r>
          </a:p>
        </xdr:txBody>
      </xdr:sp>
    </xdr:grpSp>
    <xdr:clientData/>
  </xdr:twoCellAnchor>
  <xdr:twoCellAnchor>
    <xdr:from>
      <xdr:col>5</xdr:col>
      <xdr:colOff>2200273</xdr:colOff>
      <xdr:row>12</xdr:row>
      <xdr:rowOff>73399</xdr:rowOff>
    </xdr:from>
    <xdr:to>
      <xdr:col>7</xdr:col>
      <xdr:colOff>114300</xdr:colOff>
      <xdr:row>14</xdr:row>
      <xdr:rowOff>138393</xdr:rowOff>
    </xdr:to>
    <xdr:sp macro="[0]!Refresh_blanks" textlink="">
      <xdr:nvSpPr>
        <xdr:cNvPr id="24" name="Rounded Rectangle 23">
          <a:extLst>
            <a:ext uri="{FF2B5EF4-FFF2-40B4-BE49-F238E27FC236}">
              <a16:creationId xmlns:a16="http://schemas.microsoft.com/office/drawing/2014/main" id="{00000000-0008-0000-0A00-000018000000}"/>
            </a:ext>
          </a:extLst>
        </xdr:cNvPr>
        <xdr:cNvSpPr/>
      </xdr:nvSpPr>
      <xdr:spPr>
        <a:xfrm>
          <a:off x="7991473" y="4540624"/>
          <a:ext cx="2200277" cy="550769"/>
        </a:xfrm>
        <a:prstGeom prst="roundRect">
          <a:avLst/>
        </a:prstGeom>
        <a:solidFill>
          <a:srgbClr val="A5E25C"/>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US" sz="1400" b="1">
              <a:solidFill>
                <a:sysClr val="windowText" lastClr="000000"/>
              </a:solidFill>
            </a:rPr>
            <a:t>Refresh Results</a:t>
          </a:r>
        </a:p>
      </xdr:txBody>
    </xdr:sp>
    <xdr:clientData/>
  </xdr:twoCellAnchor>
  <xdr:twoCellAnchor>
    <xdr:from>
      <xdr:col>0</xdr:col>
      <xdr:colOff>437029</xdr:colOff>
      <xdr:row>3</xdr:row>
      <xdr:rowOff>50012</xdr:rowOff>
    </xdr:from>
    <xdr:to>
      <xdr:col>11</xdr:col>
      <xdr:colOff>190500</xdr:colOff>
      <xdr:row>10</xdr:row>
      <xdr:rowOff>134470</xdr:rowOff>
    </xdr:to>
    <xdr:sp macro="" textlink="">
      <xdr:nvSpPr>
        <xdr:cNvPr id="20" name="Rounded Rectangle 19">
          <a:extLst>
            <a:ext uri="{FF2B5EF4-FFF2-40B4-BE49-F238E27FC236}">
              <a16:creationId xmlns:a16="http://schemas.microsoft.com/office/drawing/2014/main" id="{00000000-0008-0000-0A00-000014000000}"/>
            </a:ext>
          </a:extLst>
        </xdr:cNvPr>
        <xdr:cNvSpPr/>
      </xdr:nvSpPr>
      <xdr:spPr>
        <a:xfrm>
          <a:off x="437029" y="2246365"/>
          <a:ext cx="14186647" cy="1877399"/>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800" b="0" baseline="0">
              <a:solidFill>
                <a:sysClr val="windowText" lastClr="000000"/>
              </a:solidFill>
              <a:latin typeface="+mn-lt"/>
              <a:ea typeface="+mn-ea"/>
              <a:cs typeface="+mn-cs"/>
            </a:rPr>
            <a:t>This sheet summarizes the results of the carbon stocks and carbon stock change monitoring. The results are organized in two parts. </a:t>
          </a:r>
        </a:p>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800" b="0" baseline="0">
              <a:solidFill>
                <a:sysClr val="windowText" lastClr="000000"/>
              </a:solidFill>
              <a:latin typeface="+mn-lt"/>
              <a:ea typeface="+mn-ea"/>
              <a:cs typeface="+mn-cs"/>
            </a:rPr>
            <a:t>The first part shows the results for one particular year (please select the year); results are shown for all carbon pools including wood products and GHG emissions.</a:t>
          </a:r>
        </a:p>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800" b="0" baseline="0">
              <a:solidFill>
                <a:sysClr val="windowText" lastClr="000000"/>
              </a:solidFill>
              <a:latin typeface="+mn-lt"/>
              <a:ea typeface="+mn-ea"/>
              <a:cs typeface="+mn-cs"/>
            </a:rPr>
            <a:t>The second part refers to the change in the forest carbon pools between two years (select the two years).</a:t>
          </a:r>
        </a:p>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800" b="0" baseline="0">
              <a:solidFill>
                <a:sysClr val="windowText" lastClr="000000"/>
              </a:solidFill>
              <a:latin typeface="+mn-lt"/>
              <a:ea typeface="+mn-ea"/>
              <a:cs typeface="+mn-cs"/>
            </a:rPr>
            <a:t>The third table shows </a:t>
          </a:r>
          <a:r>
            <a:rPr lang="en-US" sz="1800" b="0">
              <a:solidFill>
                <a:sysClr val="windowText" lastClr="000000"/>
              </a:solidFill>
              <a:latin typeface="+mn-lt"/>
              <a:ea typeface="+mn-ea"/>
              <a:cs typeface="+mn-cs"/>
            </a:rPr>
            <a:t>the stratum-specific carbon densities </a:t>
          </a:r>
          <a:r>
            <a:rPr lang="en-US" sz="1800" b="0" baseline="0">
              <a:solidFill>
                <a:sysClr val="windowText" lastClr="000000"/>
              </a:solidFill>
              <a:latin typeface="+mn-lt"/>
              <a:ea typeface="+mn-ea"/>
              <a:cs typeface="+mn-cs"/>
            </a:rPr>
            <a:t>for </a:t>
          </a:r>
          <a:r>
            <a:rPr lang="en-US" sz="1800" b="0">
              <a:solidFill>
                <a:sysClr val="windowText" lastClr="000000"/>
              </a:solidFill>
              <a:latin typeface="+mn-lt"/>
              <a:ea typeface="+mn-ea"/>
              <a:cs typeface="+mn-cs"/>
            </a:rPr>
            <a:t>the selected year. </a:t>
          </a:r>
        </a:p>
        <a:p>
          <a:pPr marL="285750" marR="0" indent="-285750" algn="l"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800" b="0" baseline="0">
              <a:solidFill>
                <a:sysClr val="windowText" lastClr="000000"/>
              </a:solidFill>
              <a:latin typeface="+mn-lt"/>
              <a:ea typeface="+mn-ea"/>
              <a:cs typeface="+mn-cs"/>
            </a:rPr>
            <a:t>Please select the year </a:t>
          </a:r>
          <a:r>
            <a:rPr lang="en-US" sz="1800" b="1" baseline="0">
              <a:solidFill>
                <a:sysClr val="windowText" lastClr="000000"/>
              </a:solidFill>
              <a:latin typeface="+mn-lt"/>
              <a:ea typeface="+mn-ea"/>
              <a:cs typeface="+mn-cs"/>
            </a:rPr>
            <a:t>within each table </a:t>
          </a:r>
          <a:r>
            <a:rPr lang="en-US" sz="1800" b="0" baseline="0">
              <a:solidFill>
                <a:sysClr val="windowText" lastClr="000000"/>
              </a:solidFill>
              <a:latin typeface="+mn-lt"/>
              <a:ea typeface="+mn-ea"/>
              <a:cs typeface="+mn-cs"/>
            </a:rPr>
            <a:t>to display the  corresponding results </a:t>
          </a:r>
        </a:p>
      </xdr:txBody>
    </xdr:sp>
    <xdr:clientData/>
  </xdr:twoCellAnchor>
  <xdr:twoCellAnchor>
    <xdr:from>
      <xdr:col>4</xdr:col>
      <xdr:colOff>1086969</xdr:colOff>
      <xdr:row>0</xdr:row>
      <xdr:rowOff>100853</xdr:rowOff>
    </xdr:from>
    <xdr:to>
      <xdr:col>5</xdr:col>
      <xdr:colOff>829235</xdr:colOff>
      <xdr:row>0</xdr:row>
      <xdr:rowOff>425824</xdr:rowOff>
    </xdr:to>
    <xdr:sp macro="" textlink="">
      <xdr:nvSpPr>
        <xdr:cNvPr id="22" name="32 Rectángulo redondeado">
          <a:hlinkClick xmlns:r="http://schemas.openxmlformats.org/officeDocument/2006/relationships" r:id="rId10"/>
          <a:extLst>
            <a:ext uri="{FF2B5EF4-FFF2-40B4-BE49-F238E27FC236}">
              <a16:creationId xmlns:a16="http://schemas.microsoft.com/office/drawing/2014/main" id="{00000000-0008-0000-0A00-000016000000}"/>
            </a:ext>
          </a:extLst>
        </xdr:cNvPr>
        <xdr:cNvSpPr>
          <a:spLocks/>
        </xdr:cNvSpPr>
      </xdr:nvSpPr>
      <xdr:spPr>
        <a:xfrm>
          <a:off x="5132293" y="100853"/>
          <a:ext cx="1490383" cy="324971"/>
        </a:xfrm>
        <a:prstGeom prst="roundRect">
          <a:avLst/>
        </a:prstGeom>
        <a:gradFill rotWithShape="1">
          <a:gsLst>
            <a:gs pos="0">
              <a:srgbClr val="6E6E6E">
                <a:tint val="50000"/>
                <a:satMod val="300000"/>
              </a:srgbClr>
            </a:gs>
            <a:gs pos="35000">
              <a:srgbClr val="6E6E6E">
                <a:tint val="37000"/>
                <a:satMod val="300000"/>
              </a:srgbClr>
            </a:gs>
            <a:gs pos="100000">
              <a:srgbClr val="6E6E6E">
                <a:tint val="15000"/>
                <a:satMod val="350000"/>
              </a:srgbClr>
            </a:gs>
          </a:gsLst>
          <a:lin ang="16200000" scaled="1"/>
        </a:gradFill>
        <a:ln w="9525" cap="flat" cmpd="sng" algn="ctr">
          <a:solidFill>
            <a:srgbClr val="6E6E6E">
              <a:shade val="95000"/>
              <a:satMod val="105000"/>
            </a:srgbClr>
          </a:solidFill>
          <a:prstDash val="solid"/>
        </a:ln>
        <a:effectLst>
          <a:outerShdw blurRad="40000" dist="20000" dir="5400000" rotWithShape="0">
            <a:srgbClr val="000000">
              <a:alpha val="38000"/>
            </a:srgbClr>
          </a:outerShdw>
        </a:effectLst>
      </xdr:spPr>
      <xdr:txBody>
        <a:bodyPr vertOverflow="clip" lIns="36000" tIns="36000" rIns="36000" bIns="36000"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de-DE" sz="1050" b="0" i="0" u="none" strike="noStrike" kern="0" cap="none" spc="0" normalizeH="0" baseline="0" noProof="0">
              <a:ln>
                <a:noFill/>
              </a:ln>
              <a:solidFill>
                <a:sysClr val="windowText" lastClr="000000"/>
              </a:solidFill>
              <a:effectLst/>
              <a:uLnTx/>
              <a:uFillTx/>
              <a:latin typeface="Calibri"/>
              <a:ea typeface="+mn-ea"/>
              <a:cs typeface="+mn-cs"/>
            </a:rPr>
            <a:t>About this tool</a:t>
          </a:r>
        </a:p>
      </xdr:txBody>
    </xdr:sp>
    <xdr:clientData/>
  </xdr:twoCellAnchor>
  <xdr:twoCellAnchor editAs="oneCell">
    <xdr:from>
      <xdr:col>5</xdr:col>
      <xdr:colOff>2275915</xdr:colOff>
      <xdr:row>0</xdr:row>
      <xdr:rowOff>27060</xdr:rowOff>
    </xdr:from>
    <xdr:to>
      <xdr:col>6</xdr:col>
      <xdr:colOff>459441</xdr:colOff>
      <xdr:row>0</xdr:row>
      <xdr:rowOff>619851</xdr:rowOff>
    </xdr:to>
    <xdr:pic>
      <xdr:nvPicPr>
        <xdr:cNvPr id="21" name="Picture 20">
          <a:extLst>
            <a:ext uri="{FF2B5EF4-FFF2-40B4-BE49-F238E27FC236}">
              <a16:creationId xmlns:a16="http://schemas.microsoft.com/office/drawing/2014/main" id="{00000000-0008-0000-0A00-000015000000}"/>
            </a:ext>
          </a:extLst>
        </xdr:cNvPr>
        <xdr:cNvPicPr>
          <a:picLocks noChangeAspect="1" noChangeArrowheads="1"/>
        </xdr:cNvPicPr>
      </xdr:nvPicPr>
      <xdr:blipFill>
        <a:blip xmlns:r="http://schemas.openxmlformats.org/officeDocument/2006/relationships" r:embed="rId11" cstate="email">
          <a:extLst>
            <a:ext uri="{28A0092B-C50C-407E-A947-70E740481C1C}">
              <a14:useLocalDpi xmlns:a14="http://schemas.microsoft.com/office/drawing/2010/main"/>
            </a:ext>
          </a:extLst>
        </a:blip>
        <a:srcRect/>
        <a:stretch>
          <a:fillRect/>
        </a:stretch>
      </xdr:blipFill>
      <xdr:spPr bwMode="auto">
        <a:xfrm>
          <a:off x="8069356" y="27060"/>
          <a:ext cx="592791" cy="5927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absolute">
    <xdr:from>
      <xdr:col>6</xdr:col>
      <xdr:colOff>119062</xdr:colOff>
      <xdr:row>14</xdr:row>
      <xdr:rowOff>140642</xdr:rowOff>
    </xdr:from>
    <xdr:to>
      <xdr:col>7</xdr:col>
      <xdr:colOff>385762</xdr:colOff>
      <xdr:row>17</xdr:row>
      <xdr:rowOff>227919</xdr:rowOff>
    </xdr:to>
    <xdr:sp macro="[0]!Rectangle2_Click" textlink="">
      <xdr:nvSpPr>
        <xdr:cNvPr id="3" name="Rectangle 2">
          <a:extLst>
            <a:ext uri="{FF2B5EF4-FFF2-40B4-BE49-F238E27FC236}">
              <a16:creationId xmlns:a16="http://schemas.microsoft.com/office/drawing/2014/main" id="{00000000-0008-0000-0B00-000003000000}"/>
            </a:ext>
          </a:extLst>
        </xdr:cNvPr>
        <xdr:cNvSpPr/>
      </xdr:nvSpPr>
      <xdr:spPr>
        <a:xfrm>
          <a:off x="5798343" y="5974705"/>
          <a:ext cx="1338263" cy="873089"/>
        </a:xfrm>
        <a:prstGeom prst="rect">
          <a:avLst/>
        </a:prstGeom>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US" sz="1200" b="1">
              <a:solidFill>
                <a:sysClr val="windowText" lastClr="000000"/>
              </a:solidFill>
            </a:rPr>
            <a:t>Click</a:t>
          </a:r>
          <a:r>
            <a:rPr lang="en-US" sz="1200" b="1" baseline="0">
              <a:solidFill>
                <a:sysClr val="windowText" lastClr="000000"/>
              </a:solidFill>
            </a:rPr>
            <a:t> to add to "All models"</a:t>
          </a:r>
          <a:endParaRPr lang="en-US" sz="1200" b="1">
            <a:solidFill>
              <a:sysClr val="windowText" lastClr="000000"/>
            </a:solidFill>
          </a:endParaRPr>
        </a:p>
      </xdr:txBody>
    </xdr:sp>
    <xdr:clientData/>
  </xdr:twoCellAnchor>
  <xdr:twoCellAnchor>
    <xdr:from>
      <xdr:col>0</xdr:col>
      <xdr:colOff>108290</xdr:colOff>
      <xdr:row>0</xdr:row>
      <xdr:rowOff>28740</xdr:rowOff>
    </xdr:from>
    <xdr:to>
      <xdr:col>11</xdr:col>
      <xdr:colOff>867822</xdr:colOff>
      <xdr:row>0</xdr:row>
      <xdr:rowOff>1446653</xdr:rowOff>
    </xdr:to>
    <xdr:grpSp>
      <xdr:nvGrpSpPr>
        <xdr:cNvPr id="4" name="Group 3">
          <a:extLst>
            <a:ext uri="{FF2B5EF4-FFF2-40B4-BE49-F238E27FC236}">
              <a16:creationId xmlns:a16="http://schemas.microsoft.com/office/drawing/2014/main" id="{00000000-0008-0000-0B00-000004000000}"/>
            </a:ext>
          </a:extLst>
        </xdr:cNvPr>
        <xdr:cNvGrpSpPr/>
      </xdr:nvGrpSpPr>
      <xdr:grpSpPr>
        <a:xfrm>
          <a:off x="108290" y="28740"/>
          <a:ext cx="10246432" cy="1417913"/>
          <a:chOff x="97452" y="28740"/>
          <a:chExt cx="9238095" cy="1417913"/>
        </a:xfrm>
      </xdr:grpSpPr>
      <xdr:sp macro="" textlink="">
        <xdr:nvSpPr>
          <xdr:cNvPr id="5" name="24 Proceso alternativo">
            <a:extLst>
              <a:ext uri="{FF2B5EF4-FFF2-40B4-BE49-F238E27FC236}">
                <a16:creationId xmlns:a16="http://schemas.microsoft.com/office/drawing/2014/main" id="{00000000-0008-0000-0B00-000005000000}"/>
              </a:ext>
            </a:extLst>
          </xdr:cNvPr>
          <xdr:cNvSpPr/>
        </xdr:nvSpPr>
        <xdr:spPr>
          <a:xfrm>
            <a:off x="111433" y="114300"/>
            <a:ext cx="2897242" cy="322062"/>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6" name="32 Rectángulo redondeado">
            <a:hlinkClick xmlns:r="http://schemas.openxmlformats.org/officeDocument/2006/relationships" r:id="rId1"/>
            <a:extLst>
              <a:ext uri="{FF2B5EF4-FFF2-40B4-BE49-F238E27FC236}">
                <a16:creationId xmlns:a16="http://schemas.microsoft.com/office/drawing/2014/main" id="{00000000-0008-0000-0B00-000006000000}"/>
              </a:ext>
            </a:extLst>
          </xdr:cNvPr>
          <xdr:cNvSpPr/>
        </xdr:nvSpPr>
        <xdr:spPr>
          <a:xfrm>
            <a:off x="3176675" y="139844"/>
            <a:ext cx="1710537"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7" name="35 Rectángulo redondeado">
            <a:hlinkClick xmlns:r="http://schemas.openxmlformats.org/officeDocument/2006/relationships" r:id="rId2"/>
            <a:extLst>
              <a:ext uri="{FF2B5EF4-FFF2-40B4-BE49-F238E27FC236}">
                <a16:creationId xmlns:a16="http://schemas.microsoft.com/office/drawing/2014/main" id="{00000000-0008-0000-0B00-000007000000}"/>
              </a:ext>
            </a:extLst>
          </xdr:cNvPr>
          <xdr:cNvSpPr>
            <a:spLocks/>
          </xdr:cNvSpPr>
        </xdr:nvSpPr>
        <xdr:spPr>
          <a:xfrm>
            <a:off x="123718" y="1194653"/>
            <a:ext cx="1549833"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000">
                <a:solidFill>
                  <a:sysClr val="windowText" lastClr="000000"/>
                </a:solidFill>
              </a:rPr>
              <a:t>Models</a:t>
            </a:r>
          </a:p>
        </xdr:txBody>
      </xdr:sp>
      <xdr:sp macro="" textlink="">
        <xdr:nvSpPr>
          <xdr:cNvPr id="8" name="44 Rectángulo redondeado">
            <a:hlinkClick xmlns:r="http://schemas.openxmlformats.org/officeDocument/2006/relationships" r:id="rId3"/>
            <a:extLst>
              <a:ext uri="{FF2B5EF4-FFF2-40B4-BE49-F238E27FC236}">
                <a16:creationId xmlns:a16="http://schemas.microsoft.com/office/drawing/2014/main" id="{00000000-0008-0000-0B00-000008000000}"/>
              </a:ext>
            </a:extLst>
          </xdr:cNvPr>
          <xdr:cNvSpPr>
            <a:spLocks/>
          </xdr:cNvSpPr>
        </xdr:nvSpPr>
        <xdr:spPr>
          <a:xfrm>
            <a:off x="1736859" y="1194653"/>
            <a:ext cx="146808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Growth model</a:t>
            </a:r>
          </a:p>
        </xdr:txBody>
      </xdr:sp>
      <xdr:pic>
        <xdr:nvPicPr>
          <xdr:cNvPr id="9" name="Picture 1">
            <a:extLst>
              <a:ext uri="{FF2B5EF4-FFF2-40B4-BE49-F238E27FC236}">
                <a16:creationId xmlns:a16="http://schemas.microsoft.com/office/drawing/2014/main" id="{00000000-0008-0000-0B00-000009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6381749" y="28740"/>
            <a:ext cx="895643" cy="533235"/>
          </a:xfrm>
          <a:prstGeom prst="rect">
            <a:avLst/>
          </a:prstGeom>
          <a:noFill/>
          <a:ln w="1">
            <a:noFill/>
            <a:miter lim="800000"/>
            <a:headEnd/>
            <a:tailEnd type="none" w="med" len="med"/>
          </a:ln>
          <a:effectLst/>
        </xdr:spPr>
      </xdr:pic>
      <xdr:sp macro="" textlink="">
        <xdr:nvSpPr>
          <xdr:cNvPr id="11" name="58 Rectángulo redondeado">
            <a:extLst>
              <a:ext uri="{FF2B5EF4-FFF2-40B4-BE49-F238E27FC236}">
                <a16:creationId xmlns:a16="http://schemas.microsoft.com/office/drawing/2014/main" id="{00000000-0008-0000-0B00-00000B000000}"/>
              </a:ext>
            </a:extLst>
          </xdr:cNvPr>
          <xdr:cNvSpPr/>
        </xdr:nvSpPr>
        <xdr:spPr>
          <a:xfrm>
            <a:off x="97452"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12" name="60 Rectángulo redondeado">
            <a:hlinkClick xmlns:r="http://schemas.openxmlformats.org/officeDocument/2006/relationships" r:id="rId5"/>
            <a:extLst>
              <a:ext uri="{FF2B5EF4-FFF2-40B4-BE49-F238E27FC236}">
                <a16:creationId xmlns:a16="http://schemas.microsoft.com/office/drawing/2014/main" id="{00000000-0008-0000-0B00-00000C000000}"/>
              </a:ext>
            </a:extLst>
          </xdr:cNvPr>
          <xdr:cNvSpPr/>
        </xdr:nvSpPr>
        <xdr:spPr>
          <a:xfrm>
            <a:off x="162940"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13" name="58 Rectángulo redondeado">
            <a:extLst>
              <a:ext uri="{FF2B5EF4-FFF2-40B4-BE49-F238E27FC236}">
                <a16:creationId xmlns:a16="http://schemas.microsoft.com/office/drawing/2014/main" id="{00000000-0008-0000-0B00-00000D000000}"/>
              </a:ext>
            </a:extLst>
          </xdr:cNvPr>
          <xdr:cNvSpPr/>
        </xdr:nvSpPr>
        <xdr:spPr>
          <a:xfrm>
            <a:off x="3377627" y="581025"/>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14" name="58 Rectángulo redondeado">
            <a:extLst>
              <a:ext uri="{FF2B5EF4-FFF2-40B4-BE49-F238E27FC236}">
                <a16:creationId xmlns:a16="http://schemas.microsoft.com/office/drawing/2014/main" id="{00000000-0008-0000-0B00-00000E000000}"/>
              </a:ext>
            </a:extLst>
          </xdr:cNvPr>
          <xdr:cNvSpPr/>
        </xdr:nvSpPr>
        <xdr:spPr>
          <a:xfrm>
            <a:off x="1737540"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15" name="62 Rectángulo redondeado">
            <a:hlinkClick xmlns:r="http://schemas.openxmlformats.org/officeDocument/2006/relationships" r:id="rId6"/>
            <a:extLst>
              <a:ext uri="{FF2B5EF4-FFF2-40B4-BE49-F238E27FC236}">
                <a16:creationId xmlns:a16="http://schemas.microsoft.com/office/drawing/2014/main" id="{00000000-0008-0000-0B00-00000F000000}"/>
              </a:ext>
            </a:extLst>
          </xdr:cNvPr>
          <xdr:cNvSpPr/>
        </xdr:nvSpPr>
        <xdr:spPr>
          <a:xfrm>
            <a:off x="1828767"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16" name="66 Rectángulo redondeado">
            <a:hlinkClick xmlns:r="http://schemas.openxmlformats.org/officeDocument/2006/relationships" r:id="rId7"/>
            <a:extLst>
              <a:ext uri="{FF2B5EF4-FFF2-40B4-BE49-F238E27FC236}">
                <a16:creationId xmlns:a16="http://schemas.microsoft.com/office/drawing/2014/main" id="{00000000-0008-0000-0B00-000010000000}"/>
              </a:ext>
            </a:extLst>
          </xdr:cNvPr>
          <xdr:cNvSpPr/>
        </xdr:nvSpPr>
        <xdr:spPr>
          <a:xfrm>
            <a:off x="3484022" y="668551"/>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Simulation Tool</a:t>
            </a:r>
          </a:p>
        </xdr:txBody>
      </xdr:sp>
      <xdr:sp macro="" textlink="">
        <xdr:nvSpPr>
          <xdr:cNvPr id="17" name="53 Rectángulo redondeado">
            <a:hlinkClick xmlns:r="http://schemas.openxmlformats.org/officeDocument/2006/relationships" r:id="rId8"/>
            <a:extLst>
              <a:ext uri="{FF2B5EF4-FFF2-40B4-BE49-F238E27FC236}">
                <a16:creationId xmlns:a16="http://schemas.microsoft.com/office/drawing/2014/main" id="{00000000-0008-0000-0B00-000011000000}"/>
              </a:ext>
            </a:extLst>
          </xdr:cNvPr>
          <xdr:cNvSpPr>
            <a:spLocks/>
          </xdr:cNvSpPr>
        </xdr:nvSpPr>
        <xdr:spPr>
          <a:xfrm>
            <a:off x="4799643" y="1194653"/>
            <a:ext cx="146097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algn="ctr"/>
            <a:r>
              <a:rPr lang="de-DE" sz="1000">
                <a:solidFill>
                  <a:sysClr val="windowText" lastClr="000000"/>
                </a:solidFill>
              </a:rPr>
              <a:t>Simulation assumptions</a:t>
            </a:r>
          </a:p>
        </xdr:txBody>
      </xdr:sp>
      <xdr:sp macro="" textlink="">
        <xdr:nvSpPr>
          <xdr:cNvPr id="18" name="54 Rectángulo redondeado">
            <a:hlinkClick xmlns:r="http://schemas.openxmlformats.org/officeDocument/2006/relationships" r:id="rId9"/>
            <a:extLst>
              <a:ext uri="{FF2B5EF4-FFF2-40B4-BE49-F238E27FC236}">
                <a16:creationId xmlns:a16="http://schemas.microsoft.com/office/drawing/2014/main" id="{00000000-0008-0000-0B00-000012000000}"/>
              </a:ext>
            </a:extLst>
          </xdr:cNvPr>
          <xdr:cNvSpPr>
            <a:spLocks/>
          </xdr:cNvSpPr>
        </xdr:nvSpPr>
        <xdr:spPr>
          <a:xfrm>
            <a:off x="6323929" y="1194653"/>
            <a:ext cx="146976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Inventory</a:t>
            </a:r>
            <a:r>
              <a:rPr lang="de-DE" sz="1000" baseline="0">
                <a:solidFill>
                  <a:sysClr val="windowText" lastClr="000000"/>
                </a:solidFill>
                <a:latin typeface="+mn-lt"/>
                <a:ea typeface="+mn-ea"/>
                <a:cs typeface="+mn-cs"/>
              </a:rPr>
              <a:t> simulation</a:t>
            </a:r>
            <a:endParaRPr lang="de-DE" sz="1000">
              <a:solidFill>
                <a:sysClr val="windowText" lastClr="000000"/>
              </a:solidFill>
              <a:latin typeface="+mn-lt"/>
              <a:ea typeface="+mn-ea"/>
              <a:cs typeface="+mn-cs"/>
            </a:endParaRPr>
          </a:p>
        </xdr:txBody>
      </xdr:sp>
      <xdr:sp macro="" textlink="">
        <xdr:nvSpPr>
          <xdr:cNvPr id="19" name="79 Rectángulo redondeado">
            <a:hlinkClick xmlns:r="http://schemas.openxmlformats.org/officeDocument/2006/relationships" r:id="rId10"/>
            <a:extLst>
              <a:ext uri="{FF2B5EF4-FFF2-40B4-BE49-F238E27FC236}">
                <a16:creationId xmlns:a16="http://schemas.microsoft.com/office/drawing/2014/main" id="{00000000-0008-0000-0B00-000013000000}"/>
              </a:ext>
            </a:extLst>
          </xdr:cNvPr>
          <xdr:cNvSpPr>
            <a:spLocks/>
          </xdr:cNvSpPr>
        </xdr:nvSpPr>
        <xdr:spPr>
          <a:xfrm>
            <a:off x="7857000" y="1194653"/>
            <a:ext cx="147854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Simulation results</a:t>
            </a:r>
          </a:p>
        </xdr:txBody>
      </xdr:sp>
      <xdr:sp macro="" textlink="">
        <xdr:nvSpPr>
          <xdr:cNvPr id="20" name="44 Rectángulo redondeado">
            <a:hlinkClick xmlns:r="http://schemas.openxmlformats.org/officeDocument/2006/relationships" r:id="rId11"/>
            <a:extLst>
              <a:ext uri="{FF2B5EF4-FFF2-40B4-BE49-F238E27FC236}">
                <a16:creationId xmlns:a16="http://schemas.microsoft.com/office/drawing/2014/main" id="{00000000-0008-0000-0B00-000014000000}"/>
              </a:ext>
            </a:extLst>
          </xdr:cNvPr>
          <xdr:cNvSpPr>
            <a:spLocks/>
          </xdr:cNvSpPr>
        </xdr:nvSpPr>
        <xdr:spPr>
          <a:xfrm>
            <a:off x="3268251" y="1194653"/>
            <a:ext cx="146808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All models</a:t>
            </a:r>
          </a:p>
        </xdr:txBody>
      </xdr:sp>
    </xdr:grpSp>
    <xdr:clientData/>
  </xdr:twoCellAnchor>
  <xdr:twoCellAnchor editAs="absolute">
    <xdr:from>
      <xdr:col>5</xdr:col>
      <xdr:colOff>1123950</xdr:colOff>
      <xdr:row>0</xdr:row>
      <xdr:rowOff>685800</xdr:rowOff>
    </xdr:from>
    <xdr:to>
      <xdr:col>7</xdr:col>
      <xdr:colOff>457200</xdr:colOff>
      <xdr:row>0</xdr:row>
      <xdr:rowOff>971550</xdr:rowOff>
    </xdr:to>
    <xdr:sp macro="[0]!delete_rows" textlink="">
      <xdr:nvSpPr>
        <xdr:cNvPr id="21" name="Rounded Rectangle 20">
          <a:extLst>
            <a:ext uri="{FF2B5EF4-FFF2-40B4-BE49-F238E27FC236}">
              <a16:creationId xmlns:a16="http://schemas.microsoft.com/office/drawing/2014/main" id="{00000000-0008-0000-0B00-000015000000}"/>
            </a:ext>
          </a:extLst>
        </xdr:cNvPr>
        <xdr:cNvSpPr/>
      </xdr:nvSpPr>
      <xdr:spPr>
        <a:xfrm>
          <a:off x="5676900" y="685800"/>
          <a:ext cx="1533525" cy="285750"/>
        </a:xfrm>
        <a:prstGeom prst="roundRect">
          <a:avLst/>
        </a:prstGeom>
        <a:ln>
          <a:noFill/>
        </a:ln>
        <a:scene3d>
          <a:camera prst="orthographicFront"/>
          <a:lightRig rig="threePt" dir="t"/>
        </a:scene3d>
        <a:sp3d prstMaterial="dkEdge">
          <a:bevelT/>
          <a:bevelB/>
        </a:sp3d>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IN" sz="1100"/>
            <a:t>Delete selected model</a:t>
          </a:r>
        </a:p>
      </xdr:txBody>
    </xdr:sp>
    <xdr:clientData/>
  </xdr:twoCellAnchor>
  <xdr:twoCellAnchor editAs="absolute">
    <xdr:from>
      <xdr:col>6</xdr:col>
      <xdr:colOff>123825</xdr:colOff>
      <xdr:row>13</xdr:row>
      <xdr:rowOff>19050</xdr:rowOff>
    </xdr:from>
    <xdr:to>
      <xdr:col>7</xdr:col>
      <xdr:colOff>390525</xdr:colOff>
      <xdr:row>14</xdr:row>
      <xdr:rowOff>96376</xdr:rowOff>
    </xdr:to>
    <xdr:sp macro="[0]!Rectangle24_Click" textlink="">
      <xdr:nvSpPr>
        <xdr:cNvPr id="25" name="Rectangle 24">
          <a:extLst>
            <a:ext uri="{FF2B5EF4-FFF2-40B4-BE49-F238E27FC236}">
              <a16:creationId xmlns:a16="http://schemas.microsoft.com/office/drawing/2014/main" id="{00000000-0008-0000-0B00-000019000000}"/>
            </a:ext>
          </a:extLst>
        </xdr:cNvPr>
        <xdr:cNvSpPr/>
      </xdr:nvSpPr>
      <xdr:spPr>
        <a:xfrm>
          <a:off x="5810250" y="5562600"/>
          <a:ext cx="1333500" cy="363076"/>
        </a:xfrm>
        <a:prstGeom prst="rect">
          <a:avLst/>
        </a:prstGeom>
        <a:ln/>
      </xdr:spPr>
      <xdr:style>
        <a:lnRef idx="1">
          <a:schemeClr val="accent3"/>
        </a:lnRef>
        <a:fillRef idx="3">
          <a:schemeClr val="accent3"/>
        </a:fillRef>
        <a:effectRef idx="2">
          <a:schemeClr val="accent3"/>
        </a:effectRef>
        <a:fontRef idx="minor">
          <a:schemeClr val="lt1"/>
        </a:fontRef>
      </xdr:style>
      <xdr:txBody>
        <a:bodyPr rtlCol="0" anchor="ctr"/>
        <a:lstStyle/>
        <a:p>
          <a:pPr algn="ctr"/>
          <a:r>
            <a:rPr lang="en-US" sz="1200" b="1">
              <a:solidFill>
                <a:schemeClr val="tx1"/>
              </a:solidFill>
            </a:rPr>
            <a:t>Click to enter rows</a:t>
          </a:r>
        </a:p>
      </xdr:txBody>
    </xdr:sp>
    <xdr:clientData/>
  </xdr:twoCellAnchor>
  <xdr:twoCellAnchor>
    <xdr:from>
      <xdr:col>5</xdr:col>
      <xdr:colOff>933450</xdr:colOff>
      <xdr:row>0</xdr:row>
      <xdr:rowOff>133350</xdr:rowOff>
    </xdr:from>
    <xdr:to>
      <xdr:col>7</xdr:col>
      <xdr:colOff>76200</xdr:colOff>
      <xdr:row>0</xdr:row>
      <xdr:rowOff>409575</xdr:rowOff>
    </xdr:to>
    <xdr:sp macro="" textlink="">
      <xdr:nvSpPr>
        <xdr:cNvPr id="23" name="32 Rectángulo redondeado">
          <a:hlinkClick xmlns:r="http://schemas.openxmlformats.org/officeDocument/2006/relationships" r:id="rId12"/>
          <a:extLst>
            <a:ext uri="{FF2B5EF4-FFF2-40B4-BE49-F238E27FC236}">
              <a16:creationId xmlns:a16="http://schemas.microsoft.com/office/drawing/2014/main" id="{00000000-0008-0000-0B00-000017000000}"/>
            </a:ext>
          </a:extLst>
        </xdr:cNvPr>
        <xdr:cNvSpPr>
          <a:spLocks/>
        </xdr:cNvSpPr>
      </xdr:nvSpPr>
      <xdr:spPr>
        <a:xfrm>
          <a:off x="5486400" y="133350"/>
          <a:ext cx="1343025" cy="2762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clientData/>
  </xdr:twoCellAnchor>
  <xdr:twoCellAnchor editAs="oneCell">
    <xdr:from>
      <xdr:col>8</xdr:col>
      <xdr:colOff>213065</xdr:colOff>
      <xdr:row>0</xdr:row>
      <xdr:rowOff>19215</xdr:rowOff>
    </xdr:from>
    <xdr:to>
      <xdr:col>10</xdr:col>
      <xdr:colOff>260525</xdr:colOff>
      <xdr:row>0</xdr:row>
      <xdr:rowOff>561975</xdr:rowOff>
    </xdr:to>
    <xdr:pic>
      <xdr:nvPicPr>
        <xdr:cNvPr id="24" name="Picture 23">
          <a:extLst>
            <a:ext uri="{FF2B5EF4-FFF2-40B4-BE49-F238E27FC236}">
              <a16:creationId xmlns:a16="http://schemas.microsoft.com/office/drawing/2014/main" id="{00000000-0008-0000-0B00-000018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8128340" y="19215"/>
          <a:ext cx="542760" cy="5427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7</xdr:col>
      <xdr:colOff>0</xdr:colOff>
      <xdr:row>15</xdr:row>
      <xdr:rowOff>0</xdr:rowOff>
    </xdr:from>
    <xdr:to>
      <xdr:col>7</xdr:col>
      <xdr:colOff>0</xdr:colOff>
      <xdr:row>37</xdr:row>
      <xdr:rowOff>0</xdr:rowOff>
    </xdr:to>
    <xdr:graphicFrame macro="">
      <xdr:nvGraphicFramePr>
        <xdr:cNvPr id="2" name="Diagramm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56</xdr:col>
      <xdr:colOff>38101</xdr:colOff>
      <xdr:row>22</xdr:row>
      <xdr:rowOff>66675</xdr:rowOff>
    </xdr:from>
    <xdr:to>
      <xdr:col>57</xdr:col>
      <xdr:colOff>8048625</xdr:colOff>
      <xdr:row>41</xdr:row>
      <xdr:rowOff>66675</xdr:rowOff>
    </xdr:to>
    <xdr:graphicFrame macro="">
      <xdr:nvGraphicFramePr>
        <xdr:cNvPr id="3" name="Diagramm 3">
          <a:extLst>
            <a:ext uri="{FF2B5EF4-FFF2-40B4-BE49-F238E27FC236}">
              <a16:creationId xmlns:a16="http://schemas.microsoft.com/office/drawing/2014/main" id="{00000000-0008-0000-0C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56</xdr:col>
      <xdr:colOff>66675</xdr:colOff>
      <xdr:row>43</xdr:row>
      <xdr:rowOff>38100</xdr:rowOff>
    </xdr:from>
    <xdr:to>
      <xdr:col>57</xdr:col>
      <xdr:colOff>8072965</xdr:colOff>
      <xdr:row>62</xdr:row>
      <xdr:rowOff>38100</xdr:rowOff>
    </xdr:to>
    <xdr:graphicFrame macro="">
      <xdr:nvGraphicFramePr>
        <xdr:cNvPr id="4" name="Diagramm 4">
          <a:extLst>
            <a:ext uri="{FF2B5EF4-FFF2-40B4-BE49-F238E27FC236}">
              <a16:creationId xmlns:a16="http://schemas.microsoft.com/office/drawing/2014/main" id="{00000000-0008-0000-0C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56</xdr:col>
      <xdr:colOff>76200</xdr:colOff>
      <xdr:row>63</xdr:row>
      <xdr:rowOff>219075</xdr:rowOff>
    </xdr:from>
    <xdr:to>
      <xdr:col>57</xdr:col>
      <xdr:colOff>8082490</xdr:colOff>
      <xdr:row>82</xdr:row>
      <xdr:rowOff>219075</xdr:rowOff>
    </xdr:to>
    <xdr:graphicFrame macro="">
      <xdr:nvGraphicFramePr>
        <xdr:cNvPr id="5" name="Diagramm 5">
          <a:extLst>
            <a:ext uri="{FF2B5EF4-FFF2-40B4-BE49-F238E27FC236}">
              <a16:creationId xmlns:a16="http://schemas.microsoft.com/office/drawing/2014/main" id="{00000000-0008-0000-0C00-000005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56</xdr:col>
      <xdr:colOff>104775</xdr:colOff>
      <xdr:row>84</xdr:row>
      <xdr:rowOff>200025</xdr:rowOff>
    </xdr:from>
    <xdr:to>
      <xdr:col>57</xdr:col>
      <xdr:colOff>8112578</xdr:colOff>
      <xdr:row>103</xdr:row>
      <xdr:rowOff>200026</xdr:rowOff>
    </xdr:to>
    <xdr:graphicFrame macro="">
      <xdr:nvGraphicFramePr>
        <xdr:cNvPr id="6" name="Diagramm 6">
          <a:extLst>
            <a:ext uri="{FF2B5EF4-FFF2-40B4-BE49-F238E27FC236}">
              <a16:creationId xmlns:a16="http://schemas.microsoft.com/office/drawing/2014/main" id="{00000000-0008-0000-0C00-000006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428625</xdr:colOff>
      <xdr:row>4</xdr:row>
      <xdr:rowOff>189186</xdr:rowOff>
    </xdr:from>
    <xdr:to>
      <xdr:col>5</xdr:col>
      <xdr:colOff>371475</xdr:colOff>
      <xdr:row>5</xdr:row>
      <xdr:rowOff>63644</xdr:rowOff>
    </xdr:to>
    <xdr:grpSp>
      <xdr:nvGrpSpPr>
        <xdr:cNvPr id="47" name="46 Grupo">
          <a:extLst>
            <a:ext uri="{FF2B5EF4-FFF2-40B4-BE49-F238E27FC236}">
              <a16:creationId xmlns:a16="http://schemas.microsoft.com/office/drawing/2014/main" id="{00000000-0008-0000-0C00-00002F000000}"/>
            </a:ext>
          </a:extLst>
        </xdr:cNvPr>
        <xdr:cNvGrpSpPr/>
      </xdr:nvGrpSpPr>
      <xdr:grpSpPr>
        <a:xfrm>
          <a:off x="428625" y="2398986"/>
          <a:ext cx="4667250" cy="322133"/>
          <a:chOff x="0" y="2122761"/>
          <a:chExt cx="4467225" cy="322133"/>
        </a:xfrm>
      </xdr:grpSpPr>
      <xdr:sp macro="" textlink="">
        <xdr:nvSpPr>
          <xdr:cNvPr id="42" name="41 Rectángulo redondeado">
            <a:extLst>
              <a:ext uri="{FF2B5EF4-FFF2-40B4-BE49-F238E27FC236}">
                <a16:creationId xmlns:a16="http://schemas.microsoft.com/office/drawing/2014/main" id="{00000000-0008-0000-0C00-00002A000000}"/>
              </a:ext>
            </a:extLst>
          </xdr:cNvPr>
          <xdr:cNvSpPr/>
        </xdr:nvSpPr>
        <xdr:spPr>
          <a:xfrm>
            <a:off x="0" y="2122761"/>
            <a:ext cx="4467225" cy="3221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44" name="43 Rectángulo redondeado">
            <a:hlinkClick xmlns:r="http://schemas.openxmlformats.org/officeDocument/2006/relationships" r:id="rId6"/>
            <a:extLst>
              <a:ext uri="{FF2B5EF4-FFF2-40B4-BE49-F238E27FC236}">
                <a16:creationId xmlns:a16="http://schemas.microsoft.com/office/drawing/2014/main" id="{00000000-0008-0000-0C00-00002C000000}"/>
              </a:ext>
            </a:extLst>
          </xdr:cNvPr>
          <xdr:cNvSpPr>
            <a:spLocks/>
          </xdr:cNvSpPr>
        </xdr:nvSpPr>
        <xdr:spPr>
          <a:xfrm>
            <a:off x="91534" y="2164943"/>
            <a:ext cx="1765842" cy="21630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1. Enter forest</a:t>
            </a:r>
            <a:r>
              <a:rPr lang="de-DE" sz="1000" baseline="0">
                <a:solidFill>
                  <a:sysClr val="windowText" lastClr="000000"/>
                </a:solidFill>
              </a:rPr>
              <a:t> information</a:t>
            </a:r>
            <a:endParaRPr lang="de-DE" sz="1000">
              <a:solidFill>
                <a:sysClr val="windowText" lastClr="000000"/>
              </a:solidFill>
            </a:endParaRPr>
          </a:p>
        </xdr:txBody>
      </xdr:sp>
      <xdr:sp macro="" textlink="">
        <xdr:nvSpPr>
          <xdr:cNvPr id="45" name="44 Rectángulo redondeado">
            <a:hlinkClick xmlns:r="http://schemas.openxmlformats.org/officeDocument/2006/relationships" r:id="rId7"/>
            <a:extLst>
              <a:ext uri="{FF2B5EF4-FFF2-40B4-BE49-F238E27FC236}">
                <a16:creationId xmlns:a16="http://schemas.microsoft.com/office/drawing/2014/main" id="{00000000-0008-0000-0C00-00002D000000}"/>
              </a:ext>
            </a:extLst>
          </xdr:cNvPr>
          <xdr:cNvSpPr>
            <a:spLocks/>
          </xdr:cNvSpPr>
        </xdr:nvSpPr>
        <xdr:spPr>
          <a:xfrm>
            <a:off x="1946186" y="2162220"/>
            <a:ext cx="1088456" cy="22855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2.</a:t>
            </a:r>
            <a:r>
              <a:rPr lang="de-DE" sz="1000" baseline="0">
                <a:solidFill>
                  <a:sysClr val="windowText" lastClr="000000"/>
                </a:solidFill>
              </a:rPr>
              <a:t> Growth model</a:t>
            </a:r>
            <a:endParaRPr lang="de-DE" sz="1000">
              <a:solidFill>
                <a:sysClr val="windowText" lastClr="000000"/>
              </a:solidFill>
            </a:endParaRPr>
          </a:p>
        </xdr:txBody>
      </xdr:sp>
      <xdr:sp macro="" textlink="">
        <xdr:nvSpPr>
          <xdr:cNvPr id="46" name="45 Rectángulo redondeado">
            <a:hlinkClick xmlns:r="http://schemas.openxmlformats.org/officeDocument/2006/relationships" r:id="rId8"/>
            <a:extLst>
              <a:ext uri="{FF2B5EF4-FFF2-40B4-BE49-F238E27FC236}">
                <a16:creationId xmlns:a16="http://schemas.microsoft.com/office/drawing/2014/main" id="{00000000-0008-0000-0C00-00002E000000}"/>
              </a:ext>
            </a:extLst>
          </xdr:cNvPr>
          <xdr:cNvSpPr>
            <a:spLocks/>
          </xdr:cNvSpPr>
        </xdr:nvSpPr>
        <xdr:spPr>
          <a:xfrm>
            <a:off x="3121841" y="2162175"/>
            <a:ext cx="1078684" cy="23280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3. Model</a:t>
            </a:r>
            <a:r>
              <a:rPr lang="de-DE" sz="1000" baseline="0">
                <a:solidFill>
                  <a:sysClr val="windowText" lastClr="000000"/>
                </a:solidFill>
              </a:rPr>
              <a:t> graphs</a:t>
            </a:r>
            <a:endParaRPr lang="de-DE" sz="1000">
              <a:solidFill>
                <a:sysClr val="windowText" lastClr="000000"/>
              </a:solidFill>
            </a:endParaRPr>
          </a:p>
        </xdr:txBody>
      </xdr:sp>
    </xdr:grpSp>
    <xdr:clientData/>
  </xdr:twoCellAnchor>
  <xdr:twoCellAnchor>
    <xdr:from>
      <xdr:col>27</xdr:col>
      <xdr:colOff>504825</xdr:colOff>
      <xdr:row>8</xdr:row>
      <xdr:rowOff>266702</xdr:rowOff>
    </xdr:from>
    <xdr:to>
      <xdr:col>33</xdr:col>
      <xdr:colOff>295274</xdr:colOff>
      <xdr:row>8</xdr:row>
      <xdr:rowOff>569785</xdr:rowOff>
    </xdr:to>
    <xdr:grpSp>
      <xdr:nvGrpSpPr>
        <xdr:cNvPr id="48" name="47 Grupo">
          <a:hlinkClick xmlns:r="http://schemas.openxmlformats.org/officeDocument/2006/relationships" r:id="rId9"/>
          <a:extLst>
            <a:ext uri="{FF2B5EF4-FFF2-40B4-BE49-F238E27FC236}">
              <a16:creationId xmlns:a16="http://schemas.microsoft.com/office/drawing/2014/main" id="{00000000-0008-0000-0C00-000030000000}"/>
            </a:ext>
          </a:extLst>
        </xdr:cNvPr>
        <xdr:cNvGrpSpPr/>
      </xdr:nvGrpSpPr>
      <xdr:grpSpPr>
        <a:xfrm>
          <a:off x="27489150" y="3609977"/>
          <a:ext cx="4457699" cy="303083"/>
          <a:chOff x="0" y="2122761"/>
          <a:chExt cx="4467225" cy="322133"/>
        </a:xfrm>
      </xdr:grpSpPr>
      <xdr:sp macro="" textlink="">
        <xdr:nvSpPr>
          <xdr:cNvPr id="49" name="48 Rectángulo redondeado">
            <a:extLst>
              <a:ext uri="{FF2B5EF4-FFF2-40B4-BE49-F238E27FC236}">
                <a16:creationId xmlns:a16="http://schemas.microsoft.com/office/drawing/2014/main" id="{00000000-0008-0000-0C00-000031000000}"/>
              </a:ext>
            </a:extLst>
          </xdr:cNvPr>
          <xdr:cNvSpPr/>
        </xdr:nvSpPr>
        <xdr:spPr>
          <a:xfrm>
            <a:off x="0" y="2122761"/>
            <a:ext cx="4467225" cy="3221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50" name="49 Rectángulo redondeado">
            <a:hlinkClick xmlns:r="http://schemas.openxmlformats.org/officeDocument/2006/relationships" r:id="rId6"/>
            <a:extLst>
              <a:ext uri="{FF2B5EF4-FFF2-40B4-BE49-F238E27FC236}">
                <a16:creationId xmlns:a16="http://schemas.microsoft.com/office/drawing/2014/main" id="{00000000-0008-0000-0C00-000032000000}"/>
              </a:ext>
            </a:extLst>
          </xdr:cNvPr>
          <xdr:cNvSpPr>
            <a:spLocks/>
          </xdr:cNvSpPr>
        </xdr:nvSpPr>
        <xdr:spPr>
          <a:xfrm>
            <a:off x="91534" y="2164943"/>
            <a:ext cx="1765842" cy="21630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1. Enter forest i</a:t>
            </a:r>
            <a:r>
              <a:rPr lang="de-DE" sz="1000" baseline="0">
                <a:solidFill>
                  <a:sysClr val="windowText" lastClr="000000"/>
                </a:solidFill>
              </a:rPr>
              <a:t>nformation</a:t>
            </a:r>
            <a:endParaRPr lang="de-DE" sz="1000">
              <a:solidFill>
                <a:sysClr val="windowText" lastClr="000000"/>
              </a:solidFill>
            </a:endParaRPr>
          </a:p>
        </xdr:txBody>
      </xdr:sp>
      <xdr:sp macro="" textlink="">
        <xdr:nvSpPr>
          <xdr:cNvPr id="51" name="50 Rectángulo redondeado">
            <a:hlinkClick xmlns:r="http://schemas.openxmlformats.org/officeDocument/2006/relationships" r:id="rId10"/>
            <a:extLst>
              <a:ext uri="{FF2B5EF4-FFF2-40B4-BE49-F238E27FC236}">
                <a16:creationId xmlns:a16="http://schemas.microsoft.com/office/drawing/2014/main" id="{00000000-0008-0000-0C00-000033000000}"/>
              </a:ext>
            </a:extLst>
          </xdr:cNvPr>
          <xdr:cNvSpPr>
            <a:spLocks/>
          </xdr:cNvSpPr>
        </xdr:nvSpPr>
        <xdr:spPr>
          <a:xfrm>
            <a:off x="1946186" y="2162220"/>
            <a:ext cx="1088456" cy="22855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2.</a:t>
            </a:r>
            <a:r>
              <a:rPr lang="de-DE" sz="1000" baseline="0">
                <a:solidFill>
                  <a:sysClr val="windowText" lastClr="000000"/>
                </a:solidFill>
              </a:rPr>
              <a:t> Growth model</a:t>
            </a:r>
            <a:endParaRPr lang="de-DE" sz="1000">
              <a:solidFill>
                <a:sysClr val="windowText" lastClr="000000"/>
              </a:solidFill>
            </a:endParaRPr>
          </a:p>
        </xdr:txBody>
      </xdr:sp>
      <xdr:sp macro="" textlink="">
        <xdr:nvSpPr>
          <xdr:cNvPr id="52" name="51 Rectángulo redondeado">
            <a:hlinkClick xmlns:r="http://schemas.openxmlformats.org/officeDocument/2006/relationships" r:id="rId8"/>
            <a:extLst>
              <a:ext uri="{FF2B5EF4-FFF2-40B4-BE49-F238E27FC236}">
                <a16:creationId xmlns:a16="http://schemas.microsoft.com/office/drawing/2014/main" id="{00000000-0008-0000-0C00-000034000000}"/>
              </a:ext>
            </a:extLst>
          </xdr:cNvPr>
          <xdr:cNvSpPr>
            <a:spLocks/>
          </xdr:cNvSpPr>
        </xdr:nvSpPr>
        <xdr:spPr>
          <a:xfrm>
            <a:off x="3121842" y="2162175"/>
            <a:ext cx="1078684" cy="232804"/>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3. Model</a:t>
            </a:r>
            <a:r>
              <a:rPr lang="de-DE" sz="1000" baseline="0">
                <a:solidFill>
                  <a:sysClr val="windowText" lastClr="000000"/>
                </a:solidFill>
              </a:rPr>
              <a:t> graphs</a:t>
            </a:r>
            <a:endParaRPr lang="de-DE" sz="1000">
              <a:solidFill>
                <a:sysClr val="windowText" lastClr="000000"/>
              </a:solidFill>
            </a:endParaRPr>
          </a:p>
        </xdr:txBody>
      </xdr:sp>
    </xdr:grpSp>
    <xdr:clientData/>
  </xdr:twoCellAnchor>
  <xdr:twoCellAnchor>
    <xdr:from>
      <xdr:col>9</xdr:col>
      <xdr:colOff>66675</xdr:colOff>
      <xdr:row>4</xdr:row>
      <xdr:rowOff>238125</xdr:rowOff>
    </xdr:from>
    <xdr:to>
      <xdr:col>16</xdr:col>
      <xdr:colOff>381000</xdr:colOff>
      <xdr:row>5</xdr:row>
      <xdr:rowOff>112583</xdr:rowOff>
    </xdr:to>
    <xdr:grpSp>
      <xdr:nvGrpSpPr>
        <xdr:cNvPr id="53" name="52 Grupo">
          <a:extLst>
            <a:ext uri="{FF2B5EF4-FFF2-40B4-BE49-F238E27FC236}">
              <a16:creationId xmlns:a16="http://schemas.microsoft.com/office/drawing/2014/main" id="{00000000-0008-0000-0C00-000035000000}"/>
            </a:ext>
          </a:extLst>
        </xdr:cNvPr>
        <xdr:cNvGrpSpPr/>
      </xdr:nvGrpSpPr>
      <xdr:grpSpPr>
        <a:xfrm>
          <a:off x="8124825" y="2447925"/>
          <a:ext cx="7515225" cy="322133"/>
          <a:chOff x="0" y="2122761"/>
          <a:chExt cx="4467225" cy="322133"/>
        </a:xfrm>
      </xdr:grpSpPr>
      <xdr:sp macro="" textlink="">
        <xdr:nvSpPr>
          <xdr:cNvPr id="54" name="53 Rectángulo redondeado">
            <a:extLst>
              <a:ext uri="{FF2B5EF4-FFF2-40B4-BE49-F238E27FC236}">
                <a16:creationId xmlns:a16="http://schemas.microsoft.com/office/drawing/2014/main" id="{00000000-0008-0000-0C00-000036000000}"/>
              </a:ext>
            </a:extLst>
          </xdr:cNvPr>
          <xdr:cNvSpPr/>
        </xdr:nvSpPr>
        <xdr:spPr>
          <a:xfrm>
            <a:off x="0" y="2122761"/>
            <a:ext cx="4467225" cy="322133"/>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55" name="54 Rectángulo redondeado">
            <a:hlinkClick xmlns:r="http://schemas.openxmlformats.org/officeDocument/2006/relationships" r:id="rId6"/>
            <a:extLst>
              <a:ext uri="{FF2B5EF4-FFF2-40B4-BE49-F238E27FC236}">
                <a16:creationId xmlns:a16="http://schemas.microsoft.com/office/drawing/2014/main" id="{00000000-0008-0000-0C00-000037000000}"/>
              </a:ext>
            </a:extLst>
          </xdr:cNvPr>
          <xdr:cNvSpPr>
            <a:spLocks/>
          </xdr:cNvSpPr>
        </xdr:nvSpPr>
        <xdr:spPr>
          <a:xfrm>
            <a:off x="91534" y="2164943"/>
            <a:ext cx="1765842" cy="216307"/>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1. Enter forest</a:t>
            </a:r>
            <a:r>
              <a:rPr lang="de-DE" sz="1000" baseline="0">
                <a:solidFill>
                  <a:sysClr val="windowText" lastClr="000000"/>
                </a:solidFill>
              </a:rPr>
              <a:t> information</a:t>
            </a:r>
            <a:endParaRPr lang="de-DE" sz="1000">
              <a:solidFill>
                <a:sysClr val="windowText" lastClr="000000"/>
              </a:solidFill>
            </a:endParaRPr>
          </a:p>
        </xdr:txBody>
      </xdr:sp>
      <xdr:sp macro="" textlink="">
        <xdr:nvSpPr>
          <xdr:cNvPr id="56" name="55 Rectángulo redondeado">
            <a:hlinkClick xmlns:r="http://schemas.openxmlformats.org/officeDocument/2006/relationships" r:id="rId7"/>
            <a:extLst>
              <a:ext uri="{FF2B5EF4-FFF2-40B4-BE49-F238E27FC236}">
                <a16:creationId xmlns:a16="http://schemas.microsoft.com/office/drawing/2014/main" id="{00000000-0008-0000-0C00-000038000000}"/>
              </a:ext>
            </a:extLst>
          </xdr:cNvPr>
          <xdr:cNvSpPr>
            <a:spLocks/>
          </xdr:cNvSpPr>
        </xdr:nvSpPr>
        <xdr:spPr>
          <a:xfrm>
            <a:off x="1946186" y="2162220"/>
            <a:ext cx="1088456" cy="22855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2.</a:t>
            </a:r>
            <a:r>
              <a:rPr lang="de-DE" sz="1000" baseline="0">
                <a:solidFill>
                  <a:sysClr val="windowText" lastClr="000000"/>
                </a:solidFill>
              </a:rPr>
              <a:t> Growth model</a:t>
            </a:r>
            <a:endParaRPr lang="de-DE" sz="1000">
              <a:solidFill>
                <a:sysClr val="windowText" lastClr="000000"/>
              </a:solidFill>
            </a:endParaRPr>
          </a:p>
        </xdr:txBody>
      </xdr:sp>
      <xdr:sp macro="" textlink="">
        <xdr:nvSpPr>
          <xdr:cNvPr id="57" name="56 Rectángulo redondeado">
            <a:hlinkClick xmlns:r="http://schemas.openxmlformats.org/officeDocument/2006/relationships" r:id="rId8"/>
            <a:extLst>
              <a:ext uri="{FF2B5EF4-FFF2-40B4-BE49-F238E27FC236}">
                <a16:creationId xmlns:a16="http://schemas.microsoft.com/office/drawing/2014/main" id="{00000000-0008-0000-0C00-000039000000}"/>
              </a:ext>
            </a:extLst>
          </xdr:cNvPr>
          <xdr:cNvSpPr>
            <a:spLocks/>
          </xdr:cNvSpPr>
        </xdr:nvSpPr>
        <xdr:spPr>
          <a:xfrm>
            <a:off x="3121841" y="2162175"/>
            <a:ext cx="1078684" cy="232803"/>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l"/>
            <a:r>
              <a:rPr lang="de-DE" sz="1000">
                <a:solidFill>
                  <a:sysClr val="windowText" lastClr="000000"/>
                </a:solidFill>
              </a:rPr>
              <a:t>3. Model</a:t>
            </a:r>
            <a:r>
              <a:rPr lang="de-DE" sz="1000" baseline="0">
                <a:solidFill>
                  <a:sysClr val="windowText" lastClr="000000"/>
                </a:solidFill>
              </a:rPr>
              <a:t> graphs</a:t>
            </a:r>
            <a:endParaRPr lang="de-DE" sz="1000">
              <a:solidFill>
                <a:sysClr val="windowText" lastClr="000000"/>
              </a:solidFill>
            </a:endParaRPr>
          </a:p>
        </xdr:txBody>
      </xdr:sp>
    </xdr:grpSp>
    <xdr:clientData/>
  </xdr:twoCellAnchor>
  <xdr:twoCellAnchor>
    <xdr:from>
      <xdr:col>18</xdr:col>
      <xdr:colOff>597958</xdr:colOff>
      <xdr:row>12</xdr:row>
      <xdr:rowOff>105833</xdr:rowOff>
    </xdr:from>
    <xdr:to>
      <xdr:col>22</xdr:col>
      <xdr:colOff>709083</xdr:colOff>
      <xdr:row>13</xdr:row>
      <xdr:rowOff>0</xdr:rowOff>
    </xdr:to>
    <xdr:sp macro="" textlink="">
      <xdr:nvSpPr>
        <xdr:cNvPr id="9" name="Right Bracket 8">
          <a:extLst>
            <a:ext uri="{FF2B5EF4-FFF2-40B4-BE49-F238E27FC236}">
              <a16:creationId xmlns:a16="http://schemas.microsoft.com/office/drawing/2014/main" id="{00000000-0008-0000-0C00-000009000000}"/>
            </a:ext>
          </a:extLst>
        </xdr:cNvPr>
        <xdr:cNvSpPr/>
      </xdr:nvSpPr>
      <xdr:spPr>
        <a:xfrm rot="16200000">
          <a:off x="20828000" y="2153708"/>
          <a:ext cx="248708" cy="5021792"/>
        </a:xfrm>
        <a:prstGeom prst="rightBracket">
          <a:avLst/>
        </a:prstGeom>
        <a:ln>
          <a:headEnd type="arrow" w="med" len="med"/>
          <a:tailEnd type="arrow" w="med" len="med"/>
        </a:ln>
      </xdr:spPr>
      <xdr:style>
        <a:lnRef idx="2">
          <a:schemeClr val="accent1"/>
        </a:lnRef>
        <a:fillRef idx="0">
          <a:schemeClr val="accent1"/>
        </a:fillRef>
        <a:effectRef idx="1">
          <a:schemeClr val="accent1"/>
        </a:effectRef>
        <a:fontRef idx="minor">
          <a:schemeClr val="tx1"/>
        </a:fontRef>
      </xdr:style>
      <xdr:txBody>
        <a:bodyPr vertOverflow="clip" horzOverflow="clip" rtlCol="0" anchor="t"/>
        <a:lstStyle/>
        <a:p>
          <a:pPr algn="l"/>
          <a:endParaRPr lang="en-US" sz="1100"/>
        </a:p>
      </xdr:txBody>
    </xdr:sp>
    <xdr:clientData/>
  </xdr:twoCellAnchor>
  <xdr:twoCellAnchor>
    <xdr:from>
      <xdr:col>13</xdr:col>
      <xdr:colOff>232827</xdr:colOff>
      <xdr:row>12</xdr:row>
      <xdr:rowOff>148166</xdr:rowOff>
    </xdr:from>
    <xdr:to>
      <xdr:col>18</xdr:col>
      <xdr:colOff>391577</xdr:colOff>
      <xdr:row>12</xdr:row>
      <xdr:rowOff>158749</xdr:rowOff>
    </xdr:to>
    <xdr:cxnSp macro="">
      <xdr:nvCxnSpPr>
        <xdr:cNvPr id="11" name="Straight Arrow Connector 10">
          <a:extLst>
            <a:ext uri="{FF2B5EF4-FFF2-40B4-BE49-F238E27FC236}">
              <a16:creationId xmlns:a16="http://schemas.microsoft.com/office/drawing/2014/main" id="{00000000-0008-0000-0C00-00000B000000}"/>
            </a:ext>
          </a:extLst>
        </xdr:cNvPr>
        <xdr:cNvCxnSpPr/>
      </xdr:nvCxnSpPr>
      <xdr:spPr>
        <a:xfrm>
          <a:off x="12266077" y="4582583"/>
          <a:ext cx="5969000" cy="10583"/>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twoCellAnchor>
    <xdr:from>
      <xdr:col>0</xdr:col>
      <xdr:colOff>47625</xdr:colOff>
      <xdr:row>0</xdr:row>
      <xdr:rowOff>38266</xdr:rowOff>
    </xdr:from>
    <xdr:to>
      <xdr:col>10</xdr:col>
      <xdr:colOff>467772</xdr:colOff>
      <xdr:row>0</xdr:row>
      <xdr:rowOff>1446653</xdr:rowOff>
    </xdr:to>
    <xdr:grpSp>
      <xdr:nvGrpSpPr>
        <xdr:cNvPr id="26" name="Group 25">
          <a:extLst>
            <a:ext uri="{FF2B5EF4-FFF2-40B4-BE49-F238E27FC236}">
              <a16:creationId xmlns:a16="http://schemas.microsoft.com/office/drawing/2014/main" id="{00000000-0008-0000-0C00-00001A000000}"/>
            </a:ext>
          </a:extLst>
        </xdr:cNvPr>
        <xdr:cNvGrpSpPr/>
      </xdr:nvGrpSpPr>
      <xdr:grpSpPr>
        <a:xfrm>
          <a:off x="47625" y="38266"/>
          <a:ext cx="9506997" cy="1408387"/>
          <a:chOff x="0" y="38266"/>
          <a:chExt cx="9335547" cy="1408387"/>
        </a:xfrm>
      </xdr:grpSpPr>
      <xdr:sp macro="" textlink="">
        <xdr:nvSpPr>
          <xdr:cNvPr id="27" name="24 Proceso alternativo">
            <a:extLst>
              <a:ext uri="{FF2B5EF4-FFF2-40B4-BE49-F238E27FC236}">
                <a16:creationId xmlns:a16="http://schemas.microsoft.com/office/drawing/2014/main" id="{00000000-0008-0000-0C00-00001B000000}"/>
              </a:ext>
            </a:extLst>
          </xdr:cNvPr>
          <xdr:cNvSpPr/>
        </xdr:nvSpPr>
        <xdr:spPr>
          <a:xfrm>
            <a:off x="0" y="83937"/>
            <a:ext cx="2971902"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8" name="32 Rectángulo redondeado">
            <a:hlinkClick xmlns:r="http://schemas.openxmlformats.org/officeDocument/2006/relationships" r:id="rId11"/>
            <a:extLst>
              <a:ext uri="{FF2B5EF4-FFF2-40B4-BE49-F238E27FC236}">
                <a16:creationId xmlns:a16="http://schemas.microsoft.com/office/drawing/2014/main" id="{00000000-0008-0000-0C00-00001C000000}"/>
              </a:ext>
            </a:extLst>
          </xdr:cNvPr>
          <xdr:cNvSpPr/>
        </xdr:nvSpPr>
        <xdr:spPr>
          <a:xfrm>
            <a:off x="3176675" y="139844"/>
            <a:ext cx="1710537"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29" name="35 Rectángulo redondeado">
            <a:hlinkClick xmlns:r="http://schemas.openxmlformats.org/officeDocument/2006/relationships" r:id="rId12"/>
            <a:extLst>
              <a:ext uri="{FF2B5EF4-FFF2-40B4-BE49-F238E27FC236}">
                <a16:creationId xmlns:a16="http://schemas.microsoft.com/office/drawing/2014/main" id="{00000000-0008-0000-0C00-00001D000000}"/>
              </a:ext>
            </a:extLst>
          </xdr:cNvPr>
          <xdr:cNvSpPr>
            <a:spLocks/>
          </xdr:cNvSpPr>
        </xdr:nvSpPr>
        <xdr:spPr>
          <a:xfrm>
            <a:off x="123718" y="1194653"/>
            <a:ext cx="154983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000">
                <a:solidFill>
                  <a:sysClr val="windowText" lastClr="000000"/>
                </a:solidFill>
              </a:rPr>
              <a:t>Models</a:t>
            </a:r>
          </a:p>
        </xdr:txBody>
      </xdr:sp>
      <xdr:sp macro="" textlink="">
        <xdr:nvSpPr>
          <xdr:cNvPr id="30" name="44 Rectángulo redondeado">
            <a:extLst>
              <a:ext uri="{FF2B5EF4-FFF2-40B4-BE49-F238E27FC236}">
                <a16:creationId xmlns:a16="http://schemas.microsoft.com/office/drawing/2014/main" id="{00000000-0008-0000-0C00-00001E000000}"/>
              </a:ext>
            </a:extLst>
          </xdr:cNvPr>
          <xdr:cNvSpPr>
            <a:spLocks/>
          </xdr:cNvSpPr>
        </xdr:nvSpPr>
        <xdr:spPr>
          <a:xfrm>
            <a:off x="1736859" y="1194653"/>
            <a:ext cx="1468084"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Growth model</a:t>
            </a:r>
          </a:p>
        </xdr:txBody>
      </xdr:sp>
      <xdr:pic>
        <xdr:nvPicPr>
          <xdr:cNvPr id="31" name="Picture 1">
            <a:extLst>
              <a:ext uri="{FF2B5EF4-FFF2-40B4-BE49-F238E27FC236}">
                <a16:creationId xmlns:a16="http://schemas.microsoft.com/office/drawing/2014/main" id="{00000000-0008-0000-0C00-00001F000000}"/>
              </a:ext>
            </a:extLst>
          </xdr:cNvPr>
          <xdr:cNvPicPr>
            <a:picLocks noChangeAspect="1" noChangeArrowheads="1"/>
          </xdr:cNvPicPr>
        </xdr:nvPicPr>
        <xdr:blipFill>
          <a:blip xmlns:r="http://schemas.openxmlformats.org/officeDocument/2006/relationships" r:embed="rId13" cstate="print"/>
          <a:srcRect/>
          <a:stretch>
            <a:fillRect/>
          </a:stretch>
        </xdr:blipFill>
        <xdr:spPr bwMode="auto">
          <a:xfrm>
            <a:off x="6381749" y="38266"/>
            <a:ext cx="981583" cy="476384"/>
          </a:xfrm>
          <a:prstGeom prst="rect">
            <a:avLst/>
          </a:prstGeom>
          <a:noFill/>
          <a:ln w="1">
            <a:noFill/>
            <a:miter lim="800000"/>
            <a:headEnd/>
            <a:tailEnd type="none" w="med" len="med"/>
          </a:ln>
          <a:effectLst/>
        </xdr:spPr>
      </xdr:pic>
      <xdr:sp macro="" textlink="">
        <xdr:nvSpPr>
          <xdr:cNvPr id="33" name="58 Rectángulo redondeado">
            <a:extLst>
              <a:ext uri="{FF2B5EF4-FFF2-40B4-BE49-F238E27FC236}">
                <a16:creationId xmlns:a16="http://schemas.microsoft.com/office/drawing/2014/main" id="{00000000-0008-0000-0C00-000021000000}"/>
              </a:ext>
            </a:extLst>
          </xdr:cNvPr>
          <xdr:cNvSpPr/>
        </xdr:nvSpPr>
        <xdr:spPr>
          <a:xfrm>
            <a:off x="97452"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4" name="60 Rectángulo redondeado">
            <a:hlinkClick xmlns:r="http://schemas.openxmlformats.org/officeDocument/2006/relationships" r:id="rId14"/>
            <a:extLst>
              <a:ext uri="{FF2B5EF4-FFF2-40B4-BE49-F238E27FC236}">
                <a16:creationId xmlns:a16="http://schemas.microsoft.com/office/drawing/2014/main" id="{00000000-0008-0000-0C00-000022000000}"/>
              </a:ext>
            </a:extLst>
          </xdr:cNvPr>
          <xdr:cNvSpPr/>
        </xdr:nvSpPr>
        <xdr:spPr>
          <a:xfrm>
            <a:off x="162940"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35" name="58 Rectángulo redondeado">
            <a:extLst>
              <a:ext uri="{FF2B5EF4-FFF2-40B4-BE49-F238E27FC236}">
                <a16:creationId xmlns:a16="http://schemas.microsoft.com/office/drawing/2014/main" id="{00000000-0008-0000-0C00-000023000000}"/>
              </a:ext>
            </a:extLst>
          </xdr:cNvPr>
          <xdr:cNvSpPr/>
        </xdr:nvSpPr>
        <xdr:spPr>
          <a:xfrm>
            <a:off x="3377627" y="581025"/>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36" name="58 Rectángulo redondeado">
            <a:extLst>
              <a:ext uri="{FF2B5EF4-FFF2-40B4-BE49-F238E27FC236}">
                <a16:creationId xmlns:a16="http://schemas.microsoft.com/office/drawing/2014/main" id="{00000000-0008-0000-0C00-000024000000}"/>
              </a:ext>
            </a:extLst>
          </xdr:cNvPr>
          <xdr:cNvSpPr/>
        </xdr:nvSpPr>
        <xdr:spPr>
          <a:xfrm>
            <a:off x="1737540"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7" name="62 Rectángulo redondeado">
            <a:hlinkClick xmlns:r="http://schemas.openxmlformats.org/officeDocument/2006/relationships" r:id="rId15"/>
            <a:extLst>
              <a:ext uri="{FF2B5EF4-FFF2-40B4-BE49-F238E27FC236}">
                <a16:creationId xmlns:a16="http://schemas.microsoft.com/office/drawing/2014/main" id="{00000000-0008-0000-0C00-000025000000}"/>
              </a:ext>
            </a:extLst>
          </xdr:cNvPr>
          <xdr:cNvSpPr/>
        </xdr:nvSpPr>
        <xdr:spPr>
          <a:xfrm>
            <a:off x="1828767"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38" name="66 Rectángulo redondeado">
            <a:hlinkClick xmlns:r="http://schemas.openxmlformats.org/officeDocument/2006/relationships" r:id="rId16"/>
            <a:extLst>
              <a:ext uri="{FF2B5EF4-FFF2-40B4-BE49-F238E27FC236}">
                <a16:creationId xmlns:a16="http://schemas.microsoft.com/office/drawing/2014/main" id="{00000000-0008-0000-0C00-000026000000}"/>
              </a:ext>
            </a:extLst>
          </xdr:cNvPr>
          <xdr:cNvSpPr/>
        </xdr:nvSpPr>
        <xdr:spPr>
          <a:xfrm>
            <a:off x="3484022" y="668551"/>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Simulation Tool</a:t>
            </a:r>
          </a:p>
        </xdr:txBody>
      </xdr:sp>
      <xdr:sp macro="" textlink="">
        <xdr:nvSpPr>
          <xdr:cNvPr id="39" name="53 Rectángulo redondeado">
            <a:hlinkClick xmlns:r="http://schemas.openxmlformats.org/officeDocument/2006/relationships" r:id="rId17"/>
            <a:extLst>
              <a:ext uri="{FF2B5EF4-FFF2-40B4-BE49-F238E27FC236}">
                <a16:creationId xmlns:a16="http://schemas.microsoft.com/office/drawing/2014/main" id="{00000000-0008-0000-0C00-000027000000}"/>
              </a:ext>
            </a:extLst>
          </xdr:cNvPr>
          <xdr:cNvSpPr>
            <a:spLocks/>
          </xdr:cNvSpPr>
        </xdr:nvSpPr>
        <xdr:spPr>
          <a:xfrm>
            <a:off x="4799643" y="1194653"/>
            <a:ext cx="1460978" cy="252000"/>
          </a:xfrm>
          <a:prstGeom prst="roundRect">
            <a:avLst/>
          </a:prstGeom>
          <a:gradFill>
            <a:gsLst>
              <a:gs pos="0">
                <a:schemeClr val="bg2"/>
              </a:gs>
              <a:gs pos="0">
                <a:schemeClr val="accent5">
                  <a:lumMod val="20000"/>
                  <a:lumOff val="80000"/>
                </a:schemeClr>
              </a:gs>
            </a:gsLst>
            <a:lin ang="5400000" scaled="1"/>
          </a:gradFill>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algn="ctr"/>
            <a:r>
              <a:rPr lang="de-DE" sz="1000">
                <a:solidFill>
                  <a:sysClr val="windowText" lastClr="000000"/>
                </a:solidFill>
              </a:rPr>
              <a:t>Simulation assumptions</a:t>
            </a:r>
          </a:p>
        </xdr:txBody>
      </xdr:sp>
      <xdr:sp macro="" textlink="">
        <xdr:nvSpPr>
          <xdr:cNvPr id="40" name="54 Rectángulo redondeado">
            <a:hlinkClick xmlns:r="http://schemas.openxmlformats.org/officeDocument/2006/relationships" r:id="rId18"/>
            <a:extLst>
              <a:ext uri="{FF2B5EF4-FFF2-40B4-BE49-F238E27FC236}">
                <a16:creationId xmlns:a16="http://schemas.microsoft.com/office/drawing/2014/main" id="{00000000-0008-0000-0C00-000028000000}"/>
              </a:ext>
            </a:extLst>
          </xdr:cNvPr>
          <xdr:cNvSpPr>
            <a:spLocks/>
          </xdr:cNvSpPr>
        </xdr:nvSpPr>
        <xdr:spPr>
          <a:xfrm>
            <a:off x="6323929" y="1194653"/>
            <a:ext cx="1469763" cy="252000"/>
          </a:xfrm>
          <a:prstGeom prst="roundRect">
            <a:avLst/>
          </a:prstGeom>
          <a:gradFill>
            <a:gsLst>
              <a:gs pos="85000">
                <a:schemeClr val="accent5">
                  <a:lumMod val="20000"/>
                  <a:lumOff val="80000"/>
                </a:schemeClr>
              </a:gs>
              <a:gs pos="100000">
                <a:srgbClr val="D5E8CE"/>
              </a:gs>
            </a:gsLst>
            <a:lin ang="16200000" scaled="1"/>
          </a:gradFill>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Inventory</a:t>
            </a:r>
            <a:r>
              <a:rPr lang="de-DE" sz="1000" baseline="0">
                <a:solidFill>
                  <a:sysClr val="windowText" lastClr="000000"/>
                </a:solidFill>
                <a:latin typeface="+mn-lt"/>
                <a:ea typeface="+mn-ea"/>
                <a:cs typeface="+mn-cs"/>
              </a:rPr>
              <a:t> simulation</a:t>
            </a:r>
            <a:endParaRPr lang="de-DE" sz="1000">
              <a:solidFill>
                <a:sysClr val="windowText" lastClr="000000"/>
              </a:solidFill>
              <a:latin typeface="+mn-lt"/>
              <a:ea typeface="+mn-ea"/>
              <a:cs typeface="+mn-cs"/>
            </a:endParaRPr>
          </a:p>
        </xdr:txBody>
      </xdr:sp>
      <xdr:sp macro="" textlink="">
        <xdr:nvSpPr>
          <xdr:cNvPr id="41" name="79 Rectángulo redondeado">
            <a:hlinkClick xmlns:r="http://schemas.openxmlformats.org/officeDocument/2006/relationships" r:id="rId19"/>
            <a:extLst>
              <a:ext uri="{FF2B5EF4-FFF2-40B4-BE49-F238E27FC236}">
                <a16:creationId xmlns:a16="http://schemas.microsoft.com/office/drawing/2014/main" id="{00000000-0008-0000-0C00-000029000000}"/>
              </a:ext>
            </a:extLst>
          </xdr:cNvPr>
          <xdr:cNvSpPr>
            <a:spLocks/>
          </xdr:cNvSpPr>
        </xdr:nvSpPr>
        <xdr:spPr>
          <a:xfrm>
            <a:off x="7857000" y="1194653"/>
            <a:ext cx="1478547" cy="252000"/>
          </a:xfrm>
          <a:prstGeom prst="roundRect">
            <a:avLst/>
          </a:prstGeom>
          <a:gradFill>
            <a:gsLst>
              <a:gs pos="96000">
                <a:schemeClr val="accent5">
                  <a:lumMod val="20000"/>
                  <a:lumOff val="80000"/>
                </a:schemeClr>
              </a:gs>
              <a:gs pos="100000">
                <a:schemeClr val="accent2"/>
              </a:gs>
              <a:gs pos="100000">
                <a:schemeClr val="accent5">
                  <a:tint val="15000"/>
                  <a:satMod val="350000"/>
                </a:schemeClr>
              </a:gs>
            </a:gsLst>
          </a:gradFill>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Simulation results</a:t>
            </a:r>
          </a:p>
        </xdr:txBody>
      </xdr:sp>
      <xdr:sp macro="" textlink="">
        <xdr:nvSpPr>
          <xdr:cNvPr id="43" name="44 Rectángulo redondeado">
            <a:hlinkClick xmlns:r="http://schemas.openxmlformats.org/officeDocument/2006/relationships" r:id="rId20"/>
            <a:extLst>
              <a:ext uri="{FF2B5EF4-FFF2-40B4-BE49-F238E27FC236}">
                <a16:creationId xmlns:a16="http://schemas.microsoft.com/office/drawing/2014/main" id="{00000000-0008-0000-0C00-00002B000000}"/>
              </a:ext>
            </a:extLst>
          </xdr:cNvPr>
          <xdr:cNvSpPr>
            <a:spLocks/>
          </xdr:cNvSpPr>
        </xdr:nvSpPr>
        <xdr:spPr>
          <a:xfrm>
            <a:off x="3268251" y="1194653"/>
            <a:ext cx="1468084" cy="252000"/>
          </a:xfrm>
          <a:prstGeom prst="roundRect">
            <a:avLst/>
          </a:prstGeom>
          <a:gradFill>
            <a:gsLst>
              <a:gs pos="6000">
                <a:schemeClr val="accent2"/>
              </a:gs>
              <a:gs pos="10000">
                <a:schemeClr val="accent5">
                  <a:lumMod val="20000"/>
                  <a:lumOff val="80000"/>
                </a:schemeClr>
              </a:gs>
            </a:gsLst>
            <a:lin ang="5400000" scaled="1"/>
          </a:gradFill>
          <a:ln>
            <a:gradFill flip="none" rotWithShape="1">
              <a:gsLst>
                <a:gs pos="42000">
                  <a:schemeClr val="bg2"/>
                </a:gs>
                <a:gs pos="80000">
                  <a:schemeClr val="accent6"/>
                </a:gs>
              </a:gsLst>
              <a:lin ang="5400000" scaled="1"/>
              <a:tileRect/>
            </a:gradFill>
          </a:ln>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All models</a:t>
            </a:r>
          </a:p>
        </xdr:txBody>
      </xdr:sp>
    </xdr:grpSp>
    <xdr:clientData/>
  </xdr:twoCellAnchor>
  <mc:AlternateContent xmlns:mc="http://schemas.openxmlformats.org/markup-compatibility/2006">
    <mc:Choice xmlns:a14="http://schemas.microsoft.com/office/drawing/2010/main" Requires="a14">
      <xdr:twoCellAnchor editAs="absolute">
        <xdr:from>
          <xdr:col>27</xdr:col>
          <xdr:colOff>695325</xdr:colOff>
          <xdr:row>15</xdr:row>
          <xdr:rowOff>38100</xdr:rowOff>
        </xdr:from>
        <xdr:to>
          <xdr:col>30</xdr:col>
          <xdr:colOff>238125</xdr:colOff>
          <xdr:row>16</xdr:row>
          <xdr:rowOff>38100</xdr:rowOff>
        </xdr:to>
        <xdr:sp macro="" textlink="">
          <xdr:nvSpPr>
            <xdr:cNvPr id="19457" name="Drop Down 1" hidden="1">
              <a:extLst>
                <a:ext uri="{63B3BB69-23CF-44E3-9099-C40C66FF867C}">
                  <a14:compatExt spid="_x0000_s19457"/>
                </a:ext>
                <a:ext uri="{FF2B5EF4-FFF2-40B4-BE49-F238E27FC236}">
                  <a16:creationId xmlns:a16="http://schemas.microsoft.com/office/drawing/2014/main" id="{00000000-0008-0000-0C00-0000014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57150</xdr:colOff>
          <xdr:row>19</xdr:row>
          <xdr:rowOff>209550</xdr:rowOff>
        </xdr:from>
        <xdr:to>
          <xdr:col>35</xdr:col>
          <xdr:colOff>952500</xdr:colOff>
          <xdr:row>39</xdr:row>
          <xdr:rowOff>209550</xdr:rowOff>
        </xdr:to>
        <xdr:pic>
          <xdr:nvPicPr>
            <xdr:cNvPr id="38263" name="Grafik 7">
              <a:extLst>
                <a:ext uri="{FF2B5EF4-FFF2-40B4-BE49-F238E27FC236}">
                  <a16:creationId xmlns:a16="http://schemas.microsoft.com/office/drawing/2014/main" id="{00000000-0008-0000-0C00-000077950000}"/>
                </a:ext>
              </a:extLst>
            </xdr:cNvPr>
            <xdr:cNvPicPr>
              <a:picLocks noChangeAspect="1" noChangeArrowheads="1"/>
              <a:extLst>
                <a:ext uri="{84589F7E-364E-4C9E-8A38-B11213B215E9}">
                  <a14:cameraTool cellRange="selected_chart" spid="_x0000_s38664"/>
                </a:ext>
              </a:extLst>
            </xdr:cNvPicPr>
          </xdr:nvPicPr>
          <xdr:blipFill>
            <a:blip xmlns:r="http://schemas.openxmlformats.org/officeDocument/2006/relationships" r:embed="rId21"/>
            <a:srcRect/>
            <a:stretch>
              <a:fillRect/>
            </a:stretch>
          </xdr:blipFill>
          <xdr:spPr bwMode="auto">
            <a:xfrm>
              <a:off x="26374725" y="7172325"/>
              <a:ext cx="8058150" cy="4972050"/>
            </a:xfrm>
            <a:prstGeom prst="rect">
              <a:avLst/>
            </a:prstGeom>
            <a:noFill/>
            <a:extLst>
              <a:ext uri="{909E8E84-426E-40DD-AFC4-6F175D3DCCD1}">
                <a14:hiddenFill>
                  <a:solidFill>
                    <a:srgbClr val="FFFFFF"/>
                  </a:solidFill>
                </a14:hiddenFill>
              </a:ext>
            </a:extLst>
          </xdr:spPr>
        </xdr:pic>
        <xdr:clientData/>
      </xdr:twoCellAnchor>
    </mc:Choice>
    <mc:Fallback/>
  </mc:AlternateContent>
  <xdr:twoCellAnchor>
    <xdr:from>
      <xdr:col>5</xdr:col>
      <xdr:colOff>400050</xdr:colOff>
      <xdr:row>0</xdr:row>
      <xdr:rowOff>123825</xdr:rowOff>
    </xdr:from>
    <xdr:to>
      <xdr:col>6</xdr:col>
      <xdr:colOff>590550</xdr:colOff>
      <xdr:row>0</xdr:row>
      <xdr:rowOff>413313</xdr:rowOff>
    </xdr:to>
    <xdr:sp macro="" textlink="">
      <xdr:nvSpPr>
        <xdr:cNvPr id="59" name="32 Rectángulo redondeado">
          <a:hlinkClick xmlns:r="http://schemas.openxmlformats.org/officeDocument/2006/relationships" r:id="rId22"/>
          <a:extLst>
            <a:ext uri="{FF2B5EF4-FFF2-40B4-BE49-F238E27FC236}">
              <a16:creationId xmlns:a16="http://schemas.microsoft.com/office/drawing/2014/main" id="{00000000-0008-0000-0C00-00003B000000}"/>
            </a:ext>
          </a:extLst>
        </xdr:cNvPr>
        <xdr:cNvSpPr>
          <a:spLocks/>
        </xdr:cNvSpPr>
      </xdr:nvSpPr>
      <xdr:spPr>
        <a:xfrm>
          <a:off x="5124450" y="123825"/>
          <a:ext cx="1295400" cy="28948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clientData/>
  </xdr:twoCellAnchor>
  <xdr:twoCellAnchor editAs="oneCell">
    <xdr:from>
      <xdr:col>8</xdr:col>
      <xdr:colOff>361389</xdr:colOff>
      <xdr:row>0</xdr:row>
      <xdr:rowOff>38266</xdr:rowOff>
    </xdr:from>
    <xdr:to>
      <xdr:col>9</xdr:col>
      <xdr:colOff>70597</xdr:colOff>
      <xdr:row>0</xdr:row>
      <xdr:rowOff>543091</xdr:rowOff>
    </xdr:to>
    <xdr:pic>
      <xdr:nvPicPr>
        <xdr:cNvPr id="58" name="Picture 57">
          <a:extLst>
            <a:ext uri="{FF2B5EF4-FFF2-40B4-BE49-F238E27FC236}">
              <a16:creationId xmlns:a16="http://schemas.microsoft.com/office/drawing/2014/main" id="{00000000-0008-0000-0C00-00003A000000}"/>
            </a:ext>
          </a:extLst>
        </xdr:cNvPr>
        <xdr:cNvPicPr>
          <a:picLocks noChangeAspect="1" noChangeArrowheads="1"/>
        </xdr:cNvPicPr>
      </xdr:nvPicPr>
      <xdr:blipFill>
        <a:blip xmlns:r="http://schemas.openxmlformats.org/officeDocument/2006/relationships" r:embed="rId23" cstate="email">
          <a:extLst>
            <a:ext uri="{28A0092B-C50C-407E-A947-70E740481C1C}">
              <a14:useLocalDpi xmlns:a14="http://schemas.microsoft.com/office/drawing/2010/main"/>
            </a:ext>
          </a:extLst>
        </a:blip>
        <a:srcRect/>
        <a:stretch>
          <a:fillRect/>
        </a:stretch>
      </xdr:blipFill>
      <xdr:spPr bwMode="auto">
        <a:xfrm>
          <a:off x="7634007" y="38266"/>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7</xdr:col>
      <xdr:colOff>49698</xdr:colOff>
      <xdr:row>4</xdr:row>
      <xdr:rowOff>28574</xdr:rowOff>
    </xdr:from>
    <xdr:to>
      <xdr:col>8</xdr:col>
      <xdr:colOff>485775</xdr:colOff>
      <xdr:row>4</xdr:row>
      <xdr:rowOff>752475</xdr:rowOff>
    </xdr:to>
    <xdr:sp macro="[0]!All_Models_Rectangle2_Click" textlink="">
      <xdr:nvSpPr>
        <xdr:cNvPr id="2" name="Rectangle 1" hidden="1">
          <a:extLst>
            <a:ext uri="{FF2B5EF4-FFF2-40B4-BE49-F238E27FC236}">
              <a16:creationId xmlns:a16="http://schemas.microsoft.com/office/drawing/2014/main" id="{00000000-0008-0000-0D00-000002000000}"/>
            </a:ext>
          </a:extLst>
        </xdr:cNvPr>
        <xdr:cNvSpPr/>
      </xdr:nvSpPr>
      <xdr:spPr>
        <a:xfrm>
          <a:off x="5545623" y="3886199"/>
          <a:ext cx="1283802" cy="723901"/>
        </a:xfrm>
        <a:prstGeom prst="rect">
          <a:avLst/>
        </a:prstGeom>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US" sz="1200">
              <a:solidFill>
                <a:sysClr val="windowText" lastClr="000000"/>
              </a:solidFill>
            </a:rPr>
            <a:t> </a:t>
          </a:r>
          <a:r>
            <a:rPr lang="en-US" sz="1200" b="1">
              <a:solidFill>
                <a:sysClr val="windowText" lastClr="000000"/>
              </a:solidFill>
            </a:rPr>
            <a:t>Click to show</a:t>
          </a:r>
          <a:r>
            <a:rPr lang="en-US" sz="1200" b="1" baseline="0">
              <a:solidFill>
                <a:sysClr val="windowText" lastClr="000000"/>
              </a:solidFill>
            </a:rPr>
            <a:t> "All models"</a:t>
          </a:r>
          <a:endParaRPr lang="en-US" sz="1200" b="1">
            <a:solidFill>
              <a:sysClr val="windowText" lastClr="000000"/>
            </a:solidFill>
          </a:endParaRPr>
        </a:p>
      </xdr:txBody>
    </xdr:sp>
    <xdr:clientData/>
  </xdr:twoCellAnchor>
  <xdr:twoCellAnchor>
    <xdr:from>
      <xdr:col>0</xdr:col>
      <xdr:colOff>0</xdr:colOff>
      <xdr:row>0</xdr:row>
      <xdr:rowOff>38266</xdr:rowOff>
    </xdr:from>
    <xdr:to>
      <xdr:col>12</xdr:col>
      <xdr:colOff>105822</xdr:colOff>
      <xdr:row>0</xdr:row>
      <xdr:rowOff>1446653</xdr:rowOff>
    </xdr:to>
    <xdr:grpSp>
      <xdr:nvGrpSpPr>
        <xdr:cNvPr id="41" name="Group 40">
          <a:extLst>
            <a:ext uri="{FF2B5EF4-FFF2-40B4-BE49-F238E27FC236}">
              <a16:creationId xmlns:a16="http://schemas.microsoft.com/office/drawing/2014/main" id="{00000000-0008-0000-0D00-000029000000}"/>
            </a:ext>
          </a:extLst>
        </xdr:cNvPr>
        <xdr:cNvGrpSpPr/>
      </xdr:nvGrpSpPr>
      <xdr:grpSpPr>
        <a:xfrm>
          <a:off x="0" y="38266"/>
          <a:ext cx="9887997" cy="1408387"/>
          <a:chOff x="0" y="38266"/>
          <a:chExt cx="9335547" cy="1408387"/>
        </a:xfrm>
      </xdr:grpSpPr>
      <xdr:sp macro="" textlink="">
        <xdr:nvSpPr>
          <xdr:cNvPr id="42" name="24 Proceso alternativo">
            <a:extLst>
              <a:ext uri="{FF2B5EF4-FFF2-40B4-BE49-F238E27FC236}">
                <a16:creationId xmlns:a16="http://schemas.microsoft.com/office/drawing/2014/main" id="{00000000-0008-0000-0D00-00002A000000}"/>
              </a:ext>
            </a:extLst>
          </xdr:cNvPr>
          <xdr:cNvSpPr/>
        </xdr:nvSpPr>
        <xdr:spPr>
          <a:xfrm>
            <a:off x="0" y="83937"/>
            <a:ext cx="2971902"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47" name="32 Rectángulo redondeado">
            <a:hlinkClick xmlns:r="http://schemas.openxmlformats.org/officeDocument/2006/relationships" r:id="rId1"/>
            <a:extLst>
              <a:ext uri="{FF2B5EF4-FFF2-40B4-BE49-F238E27FC236}">
                <a16:creationId xmlns:a16="http://schemas.microsoft.com/office/drawing/2014/main" id="{00000000-0008-0000-0D00-00002F000000}"/>
              </a:ext>
            </a:extLst>
          </xdr:cNvPr>
          <xdr:cNvSpPr/>
        </xdr:nvSpPr>
        <xdr:spPr>
          <a:xfrm>
            <a:off x="3194660" y="92219"/>
            <a:ext cx="1499597"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48" name="35 Rectángulo redondeado">
            <a:hlinkClick xmlns:r="http://schemas.openxmlformats.org/officeDocument/2006/relationships" r:id="rId2"/>
            <a:extLst>
              <a:ext uri="{FF2B5EF4-FFF2-40B4-BE49-F238E27FC236}">
                <a16:creationId xmlns:a16="http://schemas.microsoft.com/office/drawing/2014/main" id="{00000000-0008-0000-0D00-000030000000}"/>
              </a:ext>
            </a:extLst>
          </xdr:cNvPr>
          <xdr:cNvSpPr>
            <a:spLocks/>
          </xdr:cNvSpPr>
        </xdr:nvSpPr>
        <xdr:spPr>
          <a:xfrm>
            <a:off x="123718" y="1194653"/>
            <a:ext cx="154983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000">
                <a:solidFill>
                  <a:sysClr val="windowText" lastClr="000000"/>
                </a:solidFill>
              </a:rPr>
              <a:t>Models</a:t>
            </a:r>
          </a:p>
        </xdr:txBody>
      </xdr:sp>
      <xdr:sp macro="" textlink="">
        <xdr:nvSpPr>
          <xdr:cNvPr id="49" name="44 Rectángulo redondeado">
            <a:hlinkClick xmlns:r="http://schemas.openxmlformats.org/officeDocument/2006/relationships" r:id="rId3"/>
            <a:extLst>
              <a:ext uri="{FF2B5EF4-FFF2-40B4-BE49-F238E27FC236}">
                <a16:creationId xmlns:a16="http://schemas.microsoft.com/office/drawing/2014/main" id="{00000000-0008-0000-0D00-000031000000}"/>
              </a:ext>
            </a:extLst>
          </xdr:cNvPr>
          <xdr:cNvSpPr>
            <a:spLocks/>
          </xdr:cNvSpPr>
        </xdr:nvSpPr>
        <xdr:spPr>
          <a:xfrm>
            <a:off x="1736859" y="1194653"/>
            <a:ext cx="146808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Growth model</a:t>
            </a:r>
          </a:p>
        </xdr:txBody>
      </xdr:sp>
      <xdr:pic>
        <xdr:nvPicPr>
          <xdr:cNvPr id="50" name="Picture 1">
            <a:extLst>
              <a:ext uri="{FF2B5EF4-FFF2-40B4-BE49-F238E27FC236}">
                <a16:creationId xmlns:a16="http://schemas.microsoft.com/office/drawing/2014/main" id="{00000000-0008-0000-0D00-000032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6381749" y="38266"/>
            <a:ext cx="981583" cy="476384"/>
          </a:xfrm>
          <a:prstGeom prst="rect">
            <a:avLst/>
          </a:prstGeom>
          <a:noFill/>
          <a:ln w="1">
            <a:noFill/>
            <a:miter lim="800000"/>
            <a:headEnd/>
            <a:tailEnd type="none" w="med" len="med"/>
          </a:ln>
          <a:effectLst/>
        </xdr:spPr>
      </xdr:pic>
      <xdr:sp macro="" textlink="">
        <xdr:nvSpPr>
          <xdr:cNvPr id="52" name="58 Rectángulo redondeado">
            <a:extLst>
              <a:ext uri="{FF2B5EF4-FFF2-40B4-BE49-F238E27FC236}">
                <a16:creationId xmlns:a16="http://schemas.microsoft.com/office/drawing/2014/main" id="{00000000-0008-0000-0D00-000034000000}"/>
              </a:ext>
            </a:extLst>
          </xdr:cNvPr>
          <xdr:cNvSpPr/>
        </xdr:nvSpPr>
        <xdr:spPr>
          <a:xfrm>
            <a:off x="97452"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53" name="60 Rectángulo redondeado">
            <a:hlinkClick xmlns:r="http://schemas.openxmlformats.org/officeDocument/2006/relationships" r:id="rId5"/>
            <a:extLst>
              <a:ext uri="{FF2B5EF4-FFF2-40B4-BE49-F238E27FC236}">
                <a16:creationId xmlns:a16="http://schemas.microsoft.com/office/drawing/2014/main" id="{00000000-0008-0000-0D00-000035000000}"/>
              </a:ext>
            </a:extLst>
          </xdr:cNvPr>
          <xdr:cNvSpPr/>
        </xdr:nvSpPr>
        <xdr:spPr>
          <a:xfrm>
            <a:off x="162940"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54" name="58 Rectángulo redondeado">
            <a:extLst>
              <a:ext uri="{FF2B5EF4-FFF2-40B4-BE49-F238E27FC236}">
                <a16:creationId xmlns:a16="http://schemas.microsoft.com/office/drawing/2014/main" id="{00000000-0008-0000-0D00-000036000000}"/>
              </a:ext>
            </a:extLst>
          </xdr:cNvPr>
          <xdr:cNvSpPr/>
        </xdr:nvSpPr>
        <xdr:spPr>
          <a:xfrm>
            <a:off x="3377627" y="581025"/>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55" name="58 Rectángulo redondeado">
            <a:extLst>
              <a:ext uri="{FF2B5EF4-FFF2-40B4-BE49-F238E27FC236}">
                <a16:creationId xmlns:a16="http://schemas.microsoft.com/office/drawing/2014/main" id="{00000000-0008-0000-0D00-000037000000}"/>
              </a:ext>
            </a:extLst>
          </xdr:cNvPr>
          <xdr:cNvSpPr/>
        </xdr:nvSpPr>
        <xdr:spPr>
          <a:xfrm>
            <a:off x="1737540"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63" name="62 Rectángulo redondeado">
            <a:hlinkClick xmlns:r="http://schemas.openxmlformats.org/officeDocument/2006/relationships" r:id="rId6"/>
            <a:extLst>
              <a:ext uri="{FF2B5EF4-FFF2-40B4-BE49-F238E27FC236}">
                <a16:creationId xmlns:a16="http://schemas.microsoft.com/office/drawing/2014/main" id="{00000000-0008-0000-0D00-00003F000000}"/>
              </a:ext>
            </a:extLst>
          </xdr:cNvPr>
          <xdr:cNvSpPr/>
        </xdr:nvSpPr>
        <xdr:spPr>
          <a:xfrm>
            <a:off x="1828767"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64" name="66 Rectángulo redondeado">
            <a:hlinkClick xmlns:r="http://schemas.openxmlformats.org/officeDocument/2006/relationships" r:id="rId7"/>
            <a:extLst>
              <a:ext uri="{FF2B5EF4-FFF2-40B4-BE49-F238E27FC236}">
                <a16:creationId xmlns:a16="http://schemas.microsoft.com/office/drawing/2014/main" id="{00000000-0008-0000-0D00-000040000000}"/>
              </a:ext>
            </a:extLst>
          </xdr:cNvPr>
          <xdr:cNvSpPr/>
        </xdr:nvSpPr>
        <xdr:spPr>
          <a:xfrm>
            <a:off x="3484022" y="668551"/>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Simulation Tool</a:t>
            </a:r>
          </a:p>
        </xdr:txBody>
      </xdr:sp>
      <xdr:sp macro="" textlink="">
        <xdr:nvSpPr>
          <xdr:cNvPr id="65" name="53 Rectángulo redondeado">
            <a:hlinkClick xmlns:r="http://schemas.openxmlformats.org/officeDocument/2006/relationships" r:id="rId8"/>
            <a:extLst>
              <a:ext uri="{FF2B5EF4-FFF2-40B4-BE49-F238E27FC236}">
                <a16:creationId xmlns:a16="http://schemas.microsoft.com/office/drawing/2014/main" id="{00000000-0008-0000-0D00-000041000000}"/>
              </a:ext>
            </a:extLst>
          </xdr:cNvPr>
          <xdr:cNvSpPr>
            <a:spLocks/>
          </xdr:cNvSpPr>
        </xdr:nvSpPr>
        <xdr:spPr>
          <a:xfrm>
            <a:off x="4799643" y="1194653"/>
            <a:ext cx="1460978"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algn="ctr"/>
            <a:r>
              <a:rPr lang="de-DE" sz="1000">
                <a:solidFill>
                  <a:sysClr val="windowText" lastClr="000000"/>
                </a:solidFill>
              </a:rPr>
              <a:t>Simulation assumptions</a:t>
            </a:r>
          </a:p>
        </xdr:txBody>
      </xdr:sp>
      <xdr:sp macro="" textlink="">
        <xdr:nvSpPr>
          <xdr:cNvPr id="66" name="54 Rectángulo redondeado">
            <a:hlinkClick xmlns:r="http://schemas.openxmlformats.org/officeDocument/2006/relationships" r:id="rId9"/>
            <a:extLst>
              <a:ext uri="{FF2B5EF4-FFF2-40B4-BE49-F238E27FC236}">
                <a16:creationId xmlns:a16="http://schemas.microsoft.com/office/drawing/2014/main" id="{00000000-0008-0000-0D00-000042000000}"/>
              </a:ext>
            </a:extLst>
          </xdr:cNvPr>
          <xdr:cNvSpPr>
            <a:spLocks/>
          </xdr:cNvSpPr>
        </xdr:nvSpPr>
        <xdr:spPr>
          <a:xfrm>
            <a:off x="6323929" y="1194653"/>
            <a:ext cx="146976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Inventory</a:t>
            </a:r>
            <a:r>
              <a:rPr lang="de-DE" sz="1000" baseline="0">
                <a:solidFill>
                  <a:sysClr val="windowText" lastClr="000000"/>
                </a:solidFill>
                <a:latin typeface="+mn-lt"/>
                <a:ea typeface="+mn-ea"/>
                <a:cs typeface="+mn-cs"/>
              </a:rPr>
              <a:t> simulation</a:t>
            </a:r>
            <a:endParaRPr lang="de-DE" sz="1000">
              <a:solidFill>
                <a:sysClr val="windowText" lastClr="000000"/>
              </a:solidFill>
              <a:latin typeface="+mn-lt"/>
              <a:ea typeface="+mn-ea"/>
              <a:cs typeface="+mn-cs"/>
            </a:endParaRPr>
          </a:p>
        </xdr:txBody>
      </xdr:sp>
      <xdr:sp macro="" textlink="">
        <xdr:nvSpPr>
          <xdr:cNvPr id="67" name="79 Rectángulo redondeado">
            <a:hlinkClick xmlns:r="http://schemas.openxmlformats.org/officeDocument/2006/relationships" r:id="rId10"/>
            <a:extLst>
              <a:ext uri="{FF2B5EF4-FFF2-40B4-BE49-F238E27FC236}">
                <a16:creationId xmlns:a16="http://schemas.microsoft.com/office/drawing/2014/main" id="{00000000-0008-0000-0D00-000043000000}"/>
              </a:ext>
            </a:extLst>
          </xdr:cNvPr>
          <xdr:cNvSpPr>
            <a:spLocks/>
          </xdr:cNvSpPr>
        </xdr:nvSpPr>
        <xdr:spPr>
          <a:xfrm>
            <a:off x="7857000" y="1194653"/>
            <a:ext cx="147854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Simulation results</a:t>
            </a:r>
          </a:p>
        </xdr:txBody>
      </xdr:sp>
      <xdr:sp macro="" textlink="">
        <xdr:nvSpPr>
          <xdr:cNvPr id="68" name="44 Rectángulo redondeado">
            <a:hlinkClick xmlns:r="http://schemas.openxmlformats.org/officeDocument/2006/relationships" r:id="rId11"/>
            <a:extLst>
              <a:ext uri="{FF2B5EF4-FFF2-40B4-BE49-F238E27FC236}">
                <a16:creationId xmlns:a16="http://schemas.microsoft.com/office/drawing/2014/main" id="{00000000-0008-0000-0D00-000044000000}"/>
              </a:ext>
            </a:extLst>
          </xdr:cNvPr>
          <xdr:cNvSpPr>
            <a:spLocks/>
          </xdr:cNvSpPr>
        </xdr:nvSpPr>
        <xdr:spPr>
          <a:xfrm>
            <a:off x="3268251" y="1194653"/>
            <a:ext cx="1468084"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All models</a:t>
            </a:r>
          </a:p>
        </xdr:txBody>
      </xdr:sp>
    </xdr:grpSp>
    <xdr:clientData/>
  </xdr:twoCellAnchor>
  <xdr:twoCellAnchor>
    <xdr:from>
      <xdr:col>10</xdr:col>
      <xdr:colOff>457200</xdr:colOff>
      <xdr:row>5</xdr:row>
      <xdr:rowOff>400050</xdr:rowOff>
    </xdr:from>
    <xdr:to>
      <xdr:col>12</xdr:col>
      <xdr:colOff>590550</xdr:colOff>
      <xdr:row>7</xdr:row>
      <xdr:rowOff>0</xdr:rowOff>
    </xdr:to>
    <xdr:sp macro="[0]!Rectangle2_Click" textlink="">
      <xdr:nvSpPr>
        <xdr:cNvPr id="20" name="Rectangle 19">
          <a:extLst>
            <a:ext uri="{FF2B5EF4-FFF2-40B4-BE49-F238E27FC236}">
              <a16:creationId xmlns:a16="http://schemas.microsoft.com/office/drawing/2014/main" id="{00000000-0008-0000-0D00-000014000000}"/>
            </a:ext>
          </a:extLst>
        </xdr:cNvPr>
        <xdr:cNvSpPr/>
      </xdr:nvSpPr>
      <xdr:spPr>
        <a:xfrm>
          <a:off x="8486775" y="4724400"/>
          <a:ext cx="1333500" cy="761171"/>
        </a:xfrm>
        <a:prstGeom prst="rect">
          <a:avLst/>
        </a:prstGeom>
        <a:ln/>
      </xdr:spPr>
      <xdr:style>
        <a:lnRef idx="1">
          <a:schemeClr val="accent3"/>
        </a:lnRef>
        <a:fillRef idx="3">
          <a:schemeClr val="accent3"/>
        </a:fillRef>
        <a:effectRef idx="2">
          <a:schemeClr val="accent3"/>
        </a:effectRef>
        <a:fontRef idx="minor">
          <a:schemeClr val="lt1"/>
        </a:fontRef>
      </xdr:style>
      <xdr:txBody>
        <a:bodyPr vertOverflow="clip" horzOverflow="clip" rtlCol="0" anchor="ctr"/>
        <a:lstStyle/>
        <a:p>
          <a:pPr algn="ctr"/>
          <a:r>
            <a:rPr lang="en-US" sz="1200" b="1">
              <a:solidFill>
                <a:sysClr val="windowText" lastClr="000000"/>
              </a:solidFill>
            </a:rPr>
            <a:t>Click</a:t>
          </a:r>
          <a:r>
            <a:rPr lang="en-US" sz="1200" b="1" baseline="0">
              <a:solidFill>
                <a:sysClr val="windowText" lastClr="000000"/>
              </a:solidFill>
            </a:rPr>
            <a:t> to Get All Models (Refresh)</a:t>
          </a:r>
          <a:endParaRPr lang="en-US" sz="1200" b="1">
            <a:solidFill>
              <a:sysClr val="windowText" lastClr="000000"/>
            </a:solidFill>
          </a:endParaRPr>
        </a:p>
      </xdr:txBody>
    </xdr:sp>
    <xdr:clientData/>
  </xdr:twoCellAnchor>
  <xdr:twoCellAnchor>
    <xdr:from>
      <xdr:col>6</xdr:col>
      <xdr:colOff>409576</xdr:colOff>
      <xdr:row>0</xdr:row>
      <xdr:rowOff>85725</xdr:rowOff>
    </xdr:from>
    <xdr:to>
      <xdr:col>7</xdr:col>
      <xdr:colOff>495301</xdr:colOff>
      <xdr:row>0</xdr:row>
      <xdr:rowOff>375213</xdr:rowOff>
    </xdr:to>
    <xdr:sp macro="" textlink="">
      <xdr:nvSpPr>
        <xdr:cNvPr id="22" name="32 Rectángulo redondeado">
          <a:hlinkClick xmlns:r="http://schemas.openxmlformats.org/officeDocument/2006/relationships" r:id="rId12"/>
          <a:extLst>
            <a:ext uri="{FF2B5EF4-FFF2-40B4-BE49-F238E27FC236}">
              <a16:creationId xmlns:a16="http://schemas.microsoft.com/office/drawing/2014/main" id="{00000000-0008-0000-0D00-000016000000}"/>
            </a:ext>
          </a:extLst>
        </xdr:cNvPr>
        <xdr:cNvSpPr>
          <a:spLocks/>
        </xdr:cNvSpPr>
      </xdr:nvSpPr>
      <xdr:spPr>
        <a:xfrm>
          <a:off x="5076826" y="85725"/>
          <a:ext cx="1466850" cy="28948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clientData/>
  </xdr:twoCellAnchor>
  <xdr:twoCellAnchor editAs="oneCell">
    <xdr:from>
      <xdr:col>8</xdr:col>
      <xdr:colOff>952500</xdr:colOff>
      <xdr:row>0</xdr:row>
      <xdr:rowOff>19050</xdr:rowOff>
    </xdr:from>
    <xdr:to>
      <xdr:col>9</xdr:col>
      <xdr:colOff>371475</xdr:colOff>
      <xdr:row>0</xdr:row>
      <xdr:rowOff>523875</xdr:rowOff>
    </xdr:to>
    <xdr:pic>
      <xdr:nvPicPr>
        <xdr:cNvPr id="23" name="Picture 22">
          <a:extLst>
            <a:ext uri="{FF2B5EF4-FFF2-40B4-BE49-F238E27FC236}">
              <a16:creationId xmlns:a16="http://schemas.microsoft.com/office/drawing/2014/main" id="{00000000-0008-0000-0D00-000017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7848600" y="19050"/>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xdr:from>
      <xdr:col>3</xdr:col>
      <xdr:colOff>571500</xdr:colOff>
      <xdr:row>4</xdr:row>
      <xdr:rowOff>76199</xdr:rowOff>
    </xdr:from>
    <xdr:to>
      <xdr:col>7</xdr:col>
      <xdr:colOff>476250</xdr:colOff>
      <xdr:row>16</xdr:row>
      <xdr:rowOff>9525</xdr:rowOff>
    </xdr:to>
    <xdr:sp macro="" textlink="">
      <xdr:nvSpPr>
        <xdr:cNvPr id="21" name="Rounded Rectangle 20">
          <a:extLst>
            <a:ext uri="{FF2B5EF4-FFF2-40B4-BE49-F238E27FC236}">
              <a16:creationId xmlns:a16="http://schemas.microsoft.com/office/drawing/2014/main" id="{00000000-0008-0000-0E00-000015000000}"/>
            </a:ext>
          </a:extLst>
        </xdr:cNvPr>
        <xdr:cNvSpPr/>
      </xdr:nvSpPr>
      <xdr:spPr>
        <a:xfrm>
          <a:off x="3362325" y="2162174"/>
          <a:ext cx="2924175" cy="2609851"/>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en-US" sz="1400" b="0">
              <a:solidFill>
                <a:sysClr val="windowText" lastClr="000000"/>
              </a:solidFill>
            </a:rPr>
            <a:t>Define the simulation for</a:t>
          </a:r>
          <a:r>
            <a:rPr lang="en-US" sz="1400" b="0" baseline="0">
              <a:solidFill>
                <a:sysClr val="windowText" lastClr="000000"/>
              </a:solidFill>
            </a:rPr>
            <a:t> the strata selected under </a:t>
          </a:r>
          <a:r>
            <a:rPr lang="en-US" sz="1400" b="1" baseline="0">
              <a:solidFill>
                <a:sysClr val="windowText" lastClr="000000"/>
              </a:solidFill>
            </a:rPr>
            <a:t>Models</a:t>
          </a:r>
          <a:r>
            <a:rPr lang="en-US" sz="1400" b="0" baseline="0">
              <a:solidFill>
                <a:sysClr val="windowText" lastClr="000000"/>
              </a:solidFill>
            </a:rPr>
            <a:t>.  Set the </a:t>
          </a:r>
          <a:r>
            <a:rPr lang="en-US" sz="1400" b="1" baseline="0">
              <a:solidFill>
                <a:sysClr val="windowText" lastClr="000000"/>
              </a:solidFill>
            </a:rPr>
            <a:t>Inventory year</a:t>
          </a:r>
          <a:r>
            <a:rPr lang="en-US" sz="1400" b="0" baseline="0">
              <a:solidFill>
                <a:sysClr val="windowText" lastClr="000000"/>
              </a:solidFill>
            </a:rPr>
            <a:t>, the </a:t>
          </a:r>
          <a:r>
            <a:rPr lang="en-US" sz="1400" b="1" baseline="0">
              <a:solidFill>
                <a:sysClr val="windowText" lastClr="000000"/>
              </a:solidFill>
            </a:rPr>
            <a:t>Simulation period</a:t>
          </a:r>
          <a:r>
            <a:rPr lang="en-US" sz="1400" b="0" baseline="0">
              <a:solidFill>
                <a:sysClr val="windowText" lastClr="000000"/>
              </a:solidFill>
            </a:rPr>
            <a:t>, and the output years for the simulation. The first simulated year will be the first after the inventory. </a:t>
          </a:r>
        </a:p>
        <a:p>
          <a:pPr algn="l"/>
          <a:endParaRPr lang="en-US" sz="1400" b="0" baseline="0">
            <a:solidFill>
              <a:sysClr val="windowText" lastClr="000000"/>
            </a:solidFill>
          </a:endParaRPr>
        </a:p>
        <a:p>
          <a:pPr algn="l"/>
          <a:r>
            <a:rPr lang="en-US" sz="1400" b="0" baseline="0">
              <a:solidFill>
                <a:sysClr val="windowText" lastClr="000000"/>
              </a:solidFill>
            </a:rPr>
            <a:t>There may be a time delay as Excel carries out this calculation.  </a:t>
          </a:r>
          <a:endParaRPr lang="en-US" sz="1400" b="0" baseline="0">
            <a:solidFill>
              <a:sysClr val="windowText" lastClr="000000"/>
            </a:solidFill>
            <a:effectLst/>
            <a:latin typeface="+mn-lt"/>
            <a:ea typeface="+mn-ea"/>
            <a:cs typeface="+mn-cs"/>
          </a:endParaRPr>
        </a:p>
      </xdr:txBody>
    </xdr:sp>
    <xdr:clientData/>
  </xdr:twoCellAnchor>
  <xdr:twoCellAnchor>
    <xdr:from>
      <xdr:col>0</xdr:col>
      <xdr:colOff>0</xdr:colOff>
      <xdr:row>0</xdr:row>
      <xdr:rowOff>38266</xdr:rowOff>
    </xdr:from>
    <xdr:to>
      <xdr:col>9</xdr:col>
      <xdr:colOff>0</xdr:colOff>
      <xdr:row>0</xdr:row>
      <xdr:rowOff>1446653</xdr:rowOff>
    </xdr:to>
    <xdr:grpSp>
      <xdr:nvGrpSpPr>
        <xdr:cNvPr id="20" name="Group 19">
          <a:extLst>
            <a:ext uri="{FF2B5EF4-FFF2-40B4-BE49-F238E27FC236}">
              <a16:creationId xmlns:a16="http://schemas.microsoft.com/office/drawing/2014/main" id="{00000000-0008-0000-0E00-000014000000}"/>
            </a:ext>
          </a:extLst>
        </xdr:cNvPr>
        <xdr:cNvGrpSpPr/>
      </xdr:nvGrpSpPr>
      <xdr:grpSpPr>
        <a:xfrm>
          <a:off x="0" y="38266"/>
          <a:ext cx="9039225" cy="1408387"/>
          <a:chOff x="0" y="38266"/>
          <a:chExt cx="9335547" cy="1408387"/>
        </a:xfrm>
      </xdr:grpSpPr>
      <xdr:sp macro="" textlink="">
        <xdr:nvSpPr>
          <xdr:cNvPr id="24" name="24 Proceso alternativo">
            <a:extLst>
              <a:ext uri="{FF2B5EF4-FFF2-40B4-BE49-F238E27FC236}">
                <a16:creationId xmlns:a16="http://schemas.microsoft.com/office/drawing/2014/main" id="{00000000-0008-0000-0E00-000018000000}"/>
              </a:ext>
            </a:extLst>
          </xdr:cNvPr>
          <xdr:cNvSpPr/>
        </xdr:nvSpPr>
        <xdr:spPr>
          <a:xfrm>
            <a:off x="0" y="83937"/>
            <a:ext cx="3069221"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5" name="32 Rectángulo redondeado">
            <a:hlinkClick xmlns:r="http://schemas.openxmlformats.org/officeDocument/2006/relationships" r:id="rId1"/>
            <a:extLst>
              <a:ext uri="{FF2B5EF4-FFF2-40B4-BE49-F238E27FC236}">
                <a16:creationId xmlns:a16="http://schemas.microsoft.com/office/drawing/2014/main" id="{00000000-0008-0000-0E00-000019000000}"/>
              </a:ext>
            </a:extLst>
          </xdr:cNvPr>
          <xdr:cNvSpPr/>
        </xdr:nvSpPr>
        <xdr:spPr>
          <a:xfrm>
            <a:off x="3176675" y="139844"/>
            <a:ext cx="1710537"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26" name="35 Rectángulo redondeado">
            <a:hlinkClick xmlns:r="http://schemas.openxmlformats.org/officeDocument/2006/relationships" r:id="rId2"/>
            <a:extLst>
              <a:ext uri="{FF2B5EF4-FFF2-40B4-BE49-F238E27FC236}">
                <a16:creationId xmlns:a16="http://schemas.microsoft.com/office/drawing/2014/main" id="{00000000-0008-0000-0E00-00001A000000}"/>
              </a:ext>
            </a:extLst>
          </xdr:cNvPr>
          <xdr:cNvSpPr>
            <a:spLocks/>
          </xdr:cNvSpPr>
        </xdr:nvSpPr>
        <xdr:spPr>
          <a:xfrm>
            <a:off x="123718" y="1194653"/>
            <a:ext cx="154983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000">
                <a:solidFill>
                  <a:sysClr val="windowText" lastClr="000000"/>
                </a:solidFill>
              </a:rPr>
              <a:t>Models</a:t>
            </a:r>
          </a:p>
        </xdr:txBody>
      </xdr:sp>
      <xdr:sp macro="" textlink="">
        <xdr:nvSpPr>
          <xdr:cNvPr id="39" name="44 Rectángulo redondeado">
            <a:hlinkClick xmlns:r="http://schemas.openxmlformats.org/officeDocument/2006/relationships" r:id="rId3"/>
            <a:extLst>
              <a:ext uri="{FF2B5EF4-FFF2-40B4-BE49-F238E27FC236}">
                <a16:creationId xmlns:a16="http://schemas.microsoft.com/office/drawing/2014/main" id="{00000000-0008-0000-0E00-000027000000}"/>
              </a:ext>
            </a:extLst>
          </xdr:cNvPr>
          <xdr:cNvSpPr>
            <a:spLocks/>
          </xdr:cNvSpPr>
        </xdr:nvSpPr>
        <xdr:spPr>
          <a:xfrm>
            <a:off x="1736859" y="1194653"/>
            <a:ext cx="146808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Growth model</a:t>
            </a:r>
          </a:p>
        </xdr:txBody>
      </xdr:sp>
      <xdr:pic>
        <xdr:nvPicPr>
          <xdr:cNvPr id="42" name="Picture 1">
            <a:extLst>
              <a:ext uri="{FF2B5EF4-FFF2-40B4-BE49-F238E27FC236}">
                <a16:creationId xmlns:a16="http://schemas.microsoft.com/office/drawing/2014/main" id="{00000000-0008-0000-0E00-00002A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6381749" y="38266"/>
            <a:ext cx="981583" cy="476384"/>
          </a:xfrm>
          <a:prstGeom prst="rect">
            <a:avLst/>
          </a:prstGeom>
          <a:noFill/>
          <a:ln w="1">
            <a:noFill/>
            <a:miter lim="800000"/>
            <a:headEnd/>
            <a:tailEnd type="none" w="med" len="med"/>
          </a:ln>
          <a:effectLst/>
        </xdr:spPr>
      </xdr:pic>
      <xdr:sp macro="" textlink="">
        <xdr:nvSpPr>
          <xdr:cNvPr id="45" name="58 Rectángulo redondeado">
            <a:extLst>
              <a:ext uri="{FF2B5EF4-FFF2-40B4-BE49-F238E27FC236}">
                <a16:creationId xmlns:a16="http://schemas.microsoft.com/office/drawing/2014/main" id="{00000000-0008-0000-0E00-00002D000000}"/>
              </a:ext>
            </a:extLst>
          </xdr:cNvPr>
          <xdr:cNvSpPr/>
        </xdr:nvSpPr>
        <xdr:spPr>
          <a:xfrm>
            <a:off x="97452"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6" name="60 Rectángulo redondeado">
            <a:hlinkClick xmlns:r="http://schemas.openxmlformats.org/officeDocument/2006/relationships" r:id="rId5"/>
            <a:extLst>
              <a:ext uri="{FF2B5EF4-FFF2-40B4-BE49-F238E27FC236}">
                <a16:creationId xmlns:a16="http://schemas.microsoft.com/office/drawing/2014/main" id="{00000000-0008-0000-0E00-00002E000000}"/>
              </a:ext>
            </a:extLst>
          </xdr:cNvPr>
          <xdr:cNvSpPr/>
        </xdr:nvSpPr>
        <xdr:spPr>
          <a:xfrm>
            <a:off x="162939" y="668551"/>
            <a:ext cx="1458497"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47" name="58 Rectángulo redondeado">
            <a:extLst>
              <a:ext uri="{FF2B5EF4-FFF2-40B4-BE49-F238E27FC236}">
                <a16:creationId xmlns:a16="http://schemas.microsoft.com/office/drawing/2014/main" id="{00000000-0008-0000-0E00-00002F000000}"/>
              </a:ext>
            </a:extLst>
          </xdr:cNvPr>
          <xdr:cNvSpPr/>
        </xdr:nvSpPr>
        <xdr:spPr>
          <a:xfrm>
            <a:off x="3377627" y="581025"/>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48" name="58 Rectángulo redondeado">
            <a:extLst>
              <a:ext uri="{FF2B5EF4-FFF2-40B4-BE49-F238E27FC236}">
                <a16:creationId xmlns:a16="http://schemas.microsoft.com/office/drawing/2014/main" id="{00000000-0008-0000-0E00-000030000000}"/>
              </a:ext>
            </a:extLst>
          </xdr:cNvPr>
          <xdr:cNvSpPr/>
        </xdr:nvSpPr>
        <xdr:spPr>
          <a:xfrm>
            <a:off x="1737540"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9" name="62 Rectángulo redondeado">
            <a:hlinkClick xmlns:r="http://schemas.openxmlformats.org/officeDocument/2006/relationships" r:id="rId6"/>
            <a:extLst>
              <a:ext uri="{FF2B5EF4-FFF2-40B4-BE49-F238E27FC236}">
                <a16:creationId xmlns:a16="http://schemas.microsoft.com/office/drawing/2014/main" id="{00000000-0008-0000-0E00-000031000000}"/>
              </a:ext>
            </a:extLst>
          </xdr:cNvPr>
          <xdr:cNvSpPr/>
        </xdr:nvSpPr>
        <xdr:spPr>
          <a:xfrm>
            <a:off x="1828767"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50" name="66 Rectángulo redondeado">
            <a:hlinkClick xmlns:r="http://schemas.openxmlformats.org/officeDocument/2006/relationships" r:id="rId7"/>
            <a:extLst>
              <a:ext uri="{FF2B5EF4-FFF2-40B4-BE49-F238E27FC236}">
                <a16:creationId xmlns:a16="http://schemas.microsoft.com/office/drawing/2014/main" id="{00000000-0008-0000-0E00-000032000000}"/>
              </a:ext>
            </a:extLst>
          </xdr:cNvPr>
          <xdr:cNvSpPr/>
        </xdr:nvSpPr>
        <xdr:spPr>
          <a:xfrm>
            <a:off x="3484022" y="668551"/>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Simulation Tool</a:t>
            </a:r>
          </a:p>
        </xdr:txBody>
      </xdr:sp>
      <xdr:sp macro="" textlink="">
        <xdr:nvSpPr>
          <xdr:cNvPr id="51" name="53 Rectángulo redondeado">
            <a:hlinkClick xmlns:r="http://schemas.openxmlformats.org/officeDocument/2006/relationships" r:id="rId8"/>
            <a:extLst>
              <a:ext uri="{FF2B5EF4-FFF2-40B4-BE49-F238E27FC236}">
                <a16:creationId xmlns:a16="http://schemas.microsoft.com/office/drawing/2014/main" id="{00000000-0008-0000-0E00-000033000000}"/>
              </a:ext>
            </a:extLst>
          </xdr:cNvPr>
          <xdr:cNvSpPr>
            <a:spLocks/>
          </xdr:cNvSpPr>
        </xdr:nvSpPr>
        <xdr:spPr>
          <a:xfrm>
            <a:off x="4799643" y="1194653"/>
            <a:ext cx="1460978" cy="252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ctr"/>
          <a:lstStyle/>
          <a:p>
            <a:pPr algn="ctr"/>
            <a:r>
              <a:rPr lang="de-DE" sz="1000">
                <a:solidFill>
                  <a:sysClr val="windowText" lastClr="000000"/>
                </a:solidFill>
              </a:rPr>
              <a:t>Simulation assumptions</a:t>
            </a:r>
          </a:p>
        </xdr:txBody>
      </xdr:sp>
      <xdr:sp macro="" textlink="">
        <xdr:nvSpPr>
          <xdr:cNvPr id="52" name="54 Rectángulo redondeado">
            <a:hlinkClick xmlns:r="http://schemas.openxmlformats.org/officeDocument/2006/relationships" r:id="rId9"/>
            <a:extLst>
              <a:ext uri="{FF2B5EF4-FFF2-40B4-BE49-F238E27FC236}">
                <a16:creationId xmlns:a16="http://schemas.microsoft.com/office/drawing/2014/main" id="{00000000-0008-0000-0E00-000034000000}"/>
              </a:ext>
            </a:extLst>
          </xdr:cNvPr>
          <xdr:cNvSpPr>
            <a:spLocks/>
          </xdr:cNvSpPr>
        </xdr:nvSpPr>
        <xdr:spPr>
          <a:xfrm>
            <a:off x="6323929" y="1194653"/>
            <a:ext cx="1469763"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Inventory</a:t>
            </a:r>
            <a:r>
              <a:rPr lang="de-DE" sz="1000" baseline="0">
                <a:solidFill>
                  <a:sysClr val="windowText" lastClr="000000"/>
                </a:solidFill>
                <a:latin typeface="+mn-lt"/>
                <a:ea typeface="+mn-ea"/>
                <a:cs typeface="+mn-cs"/>
              </a:rPr>
              <a:t> simulation</a:t>
            </a:r>
            <a:endParaRPr lang="de-DE" sz="1000">
              <a:solidFill>
                <a:sysClr val="windowText" lastClr="000000"/>
              </a:solidFill>
              <a:latin typeface="+mn-lt"/>
              <a:ea typeface="+mn-ea"/>
              <a:cs typeface="+mn-cs"/>
            </a:endParaRPr>
          </a:p>
        </xdr:txBody>
      </xdr:sp>
      <xdr:sp macro="" textlink="">
        <xdr:nvSpPr>
          <xdr:cNvPr id="53" name="79 Rectángulo redondeado">
            <a:hlinkClick xmlns:r="http://schemas.openxmlformats.org/officeDocument/2006/relationships" r:id="rId10"/>
            <a:extLst>
              <a:ext uri="{FF2B5EF4-FFF2-40B4-BE49-F238E27FC236}">
                <a16:creationId xmlns:a16="http://schemas.microsoft.com/office/drawing/2014/main" id="{00000000-0008-0000-0E00-000035000000}"/>
              </a:ext>
            </a:extLst>
          </xdr:cNvPr>
          <xdr:cNvSpPr>
            <a:spLocks/>
          </xdr:cNvSpPr>
        </xdr:nvSpPr>
        <xdr:spPr>
          <a:xfrm>
            <a:off x="7857000" y="1194653"/>
            <a:ext cx="1478547"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Simulation results</a:t>
            </a:r>
          </a:p>
        </xdr:txBody>
      </xdr:sp>
      <xdr:sp macro="" textlink="">
        <xdr:nvSpPr>
          <xdr:cNvPr id="54" name="44 Rectángulo redondeado">
            <a:hlinkClick xmlns:r="http://schemas.openxmlformats.org/officeDocument/2006/relationships" r:id="rId11"/>
            <a:extLst>
              <a:ext uri="{FF2B5EF4-FFF2-40B4-BE49-F238E27FC236}">
                <a16:creationId xmlns:a16="http://schemas.microsoft.com/office/drawing/2014/main" id="{00000000-0008-0000-0E00-000036000000}"/>
              </a:ext>
            </a:extLst>
          </xdr:cNvPr>
          <xdr:cNvSpPr>
            <a:spLocks/>
          </xdr:cNvSpPr>
        </xdr:nvSpPr>
        <xdr:spPr>
          <a:xfrm>
            <a:off x="3268251" y="1194653"/>
            <a:ext cx="1468084" cy="252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All models</a:t>
            </a:r>
          </a:p>
        </xdr:txBody>
      </xdr:sp>
    </xdr:grpSp>
    <xdr:clientData/>
  </xdr:twoCellAnchor>
  <xdr:twoCellAnchor>
    <xdr:from>
      <xdr:col>1</xdr:col>
      <xdr:colOff>247650</xdr:colOff>
      <xdr:row>14</xdr:row>
      <xdr:rowOff>85725</xdr:rowOff>
    </xdr:from>
    <xdr:to>
      <xdr:col>3</xdr:col>
      <xdr:colOff>34925</xdr:colOff>
      <xdr:row>16</xdr:row>
      <xdr:rowOff>27668</xdr:rowOff>
    </xdr:to>
    <xdr:sp macro="[0]!RoundedRectangle21_Click" textlink="">
      <xdr:nvSpPr>
        <xdr:cNvPr id="22" name="Rounded Rectangle 21">
          <a:extLst>
            <a:ext uri="{FF2B5EF4-FFF2-40B4-BE49-F238E27FC236}">
              <a16:creationId xmlns:a16="http://schemas.microsoft.com/office/drawing/2014/main" id="{00000000-0008-0000-0E00-000016000000}"/>
            </a:ext>
          </a:extLst>
        </xdr:cNvPr>
        <xdr:cNvSpPr/>
      </xdr:nvSpPr>
      <xdr:spPr>
        <a:xfrm>
          <a:off x="1009650" y="4486275"/>
          <a:ext cx="1387475" cy="322943"/>
        </a:xfrm>
        <a:prstGeom prst="roundRect">
          <a:avLst/>
        </a:prstGeom>
        <a:solidFill>
          <a:srgbClr val="A5E25C"/>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en-US" sz="1100">
              <a:solidFill>
                <a:sysClr val="windowText" lastClr="000000"/>
              </a:solidFill>
            </a:rPr>
            <a:t>Refresh</a:t>
          </a:r>
        </a:p>
      </xdr:txBody>
    </xdr:sp>
    <xdr:clientData/>
  </xdr:twoCellAnchor>
  <xdr:twoCellAnchor>
    <xdr:from>
      <xdr:col>5</xdr:col>
      <xdr:colOff>533400</xdr:colOff>
      <xdr:row>0</xdr:row>
      <xdr:rowOff>142875</xdr:rowOff>
    </xdr:from>
    <xdr:to>
      <xdr:col>7</xdr:col>
      <xdr:colOff>252762</xdr:colOff>
      <xdr:row>0</xdr:row>
      <xdr:rowOff>409575</xdr:rowOff>
    </xdr:to>
    <xdr:sp macro="" textlink="">
      <xdr:nvSpPr>
        <xdr:cNvPr id="23" name="32 Rectángulo redondeado">
          <a:hlinkClick xmlns:r="http://schemas.openxmlformats.org/officeDocument/2006/relationships" r:id="rId12"/>
          <a:extLst>
            <a:ext uri="{FF2B5EF4-FFF2-40B4-BE49-F238E27FC236}">
              <a16:creationId xmlns:a16="http://schemas.microsoft.com/office/drawing/2014/main" id="{00000000-0008-0000-0E00-000017000000}"/>
            </a:ext>
          </a:extLst>
        </xdr:cNvPr>
        <xdr:cNvSpPr>
          <a:spLocks/>
        </xdr:cNvSpPr>
      </xdr:nvSpPr>
      <xdr:spPr>
        <a:xfrm>
          <a:off x="4810125" y="142875"/>
          <a:ext cx="1252887" cy="2667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clientData/>
  </xdr:twoCellAnchor>
  <xdr:twoCellAnchor editAs="oneCell">
    <xdr:from>
      <xdr:col>7</xdr:col>
      <xdr:colOff>1362075</xdr:colOff>
      <xdr:row>0</xdr:row>
      <xdr:rowOff>19216</xdr:rowOff>
    </xdr:from>
    <xdr:to>
      <xdr:col>8</xdr:col>
      <xdr:colOff>180975</xdr:colOff>
      <xdr:row>0</xdr:row>
      <xdr:rowOff>524041</xdr:rowOff>
    </xdr:to>
    <xdr:pic>
      <xdr:nvPicPr>
        <xdr:cNvPr id="27" name="Picture 26">
          <a:extLst>
            <a:ext uri="{FF2B5EF4-FFF2-40B4-BE49-F238E27FC236}">
              <a16:creationId xmlns:a16="http://schemas.microsoft.com/office/drawing/2014/main" id="{00000000-0008-0000-0E00-00001B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7172325" y="19216"/>
          <a:ext cx="504825" cy="5048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xdr:from>
      <xdr:col>0</xdr:col>
      <xdr:colOff>742949</xdr:colOff>
      <xdr:row>2</xdr:row>
      <xdr:rowOff>85725</xdr:rowOff>
    </xdr:from>
    <xdr:to>
      <xdr:col>7</xdr:col>
      <xdr:colOff>2099596</xdr:colOff>
      <xdr:row>8</xdr:row>
      <xdr:rowOff>204839</xdr:rowOff>
    </xdr:to>
    <xdr:sp macro="" textlink="">
      <xdr:nvSpPr>
        <xdr:cNvPr id="20" name="19 Rectángulo redondeado">
          <a:extLst>
            <a:ext uri="{FF2B5EF4-FFF2-40B4-BE49-F238E27FC236}">
              <a16:creationId xmlns:a16="http://schemas.microsoft.com/office/drawing/2014/main" id="{00000000-0008-0000-0F00-000014000000}"/>
            </a:ext>
          </a:extLst>
        </xdr:cNvPr>
        <xdr:cNvSpPr/>
      </xdr:nvSpPr>
      <xdr:spPr>
        <a:xfrm>
          <a:off x="742949" y="1796128"/>
          <a:ext cx="8566970" cy="1276453"/>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marL="171450" indent="-171450" algn="l">
            <a:buFont typeface="Arial" panose="020B0604020202020204" pitchFamily="34" charset="0"/>
            <a:buChar char="•"/>
          </a:pPr>
          <a:r>
            <a:rPr lang="es-ES" sz="1600">
              <a:solidFill>
                <a:sysClr val="windowText" lastClr="000000"/>
              </a:solidFill>
              <a:latin typeface="+mn-lt"/>
              <a:ea typeface="+mn-ea"/>
              <a:cs typeface="+mn-cs"/>
            </a:rPr>
            <a:t>The simulation is based on the stratum-specific inventory data and the corresponding growth models. </a:t>
          </a:r>
        </a:p>
        <a:p>
          <a:pPr marL="171450" indent="-171450" algn="l">
            <a:buFont typeface="Arial" panose="020B0604020202020204" pitchFamily="34" charset="0"/>
            <a:buChar char="•"/>
          </a:pPr>
          <a:r>
            <a:rPr lang="es-ES" sz="1600">
              <a:solidFill>
                <a:sysClr val="windowText" lastClr="000000"/>
              </a:solidFill>
              <a:latin typeface="+mn-lt"/>
              <a:ea typeface="+mn-ea"/>
              <a:cs typeface="+mn-cs"/>
            </a:rPr>
            <a:t>The simulated carbon stocks for each year defined are shown. The results are summarized under </a:t>
          </a:r>
          <a:r>
            <a:rPr lang="es-ES" sz="1600" b="1">
              <a:solidFill>
                <a:sysClr val="windowText" lastClr="000000"/>
              </a:solidFill>
              <a:latin typeface="+mn-lt"/>
              <a:ea typeface="+mn-ea"/>
              <a:cs typeface="+mn-cs"/>
            </a:rPr>
            <a:t>Simulation results</a:t>
          </a:r>
          <a:r>
            <a:rPr lang="es-ES" sz="1600">
              <a:solidFill>
                <a:sysClr val="windowText" lastClr="000000"/>
              </a:solidFill>
              <a:latin typeface="+mn-lt"/>
              <a:ea typeface="+mn-ea"/>
              <a:cs typeface="+mn-cs"/>
            </a:rPr>
            <a:t>.</a:t>
          </a:r>
        </a:p>
      </xdr:txBody>
    </xdr:sp>
    <xdr:clientData/>
  </xdr:twoCellAnchor>
  <xdr:twoCellAnchor>
    <xdr:from>
      <xdr:col>0</xdr:col>
      <xdr:colOff>0</xdr:colOff>
      <xdr:row>0</xdr:row>
      <xdr:rowOff>36832</xdr:rowOff>
    </xdr:from>
    <xdr:to>
      <xdr:col>9</xdr:col>
      <xdr:colOff>594032</xdr:colOff>
      <xdr:row>0</xdr:row>
      <xdr:rowOff>1485081</xdr:rowOff>
    </xdr:to>
    <xdr:grpSp>
      <xdr:nvGrpSpPr>
        <xdr:cNvPr id="21" name="Group 20">
          <a:extLst>
            <a:ext uri="{FF2B5EF4-FFF2-40B4-BE49-F238E27FC236}">
              <a16:creationId xmlns:a16="http://schemas.microsoft.com/office/drawing/2014/main" id="{00000000-0008-0000-0F00-000015000000}"/>
            </a:ext>
          </a:extLst>
        </xdr:cNvPr>
        <xdr:cNvGrpSpPr/>
      </xdr:nvGrpSpPr>
      <xdr:grpSpPr>
        <a:xfrm>
          <a:off x="0" y="36832"/>
          <a:ext cx="10785782" cy="1448249"/>
          <a:chOff x="0" y="17782"/>
          <a:chExt cx="7443676" cy="1448249"/>
        </a:xfrm>
      </xdr:grpSpPr>
      <xdr:sp macro="" textlink="">
        <xdr:nvSpPr>
          <xdr:cNvPr id="23" name="24 Proceso alternativo">
            <a:extLst>
              <a:ext uri="{FF2B5EF4-FFF2-40B4-BE49-F238E27FC236}">
                <a16:creationId xmlns:a16="http://schemas.microsoft.com/office/drawing/2014/main" id="{00000000-0008-0000-0F00-000017000000}"/>
              </a:ext>
            </a:extLst>
          </xdr:cNvPr>
          <xdr:cNvSpPr/>
        </xdr:nvSpPr>
        <xdr:spPr>
          <a:xfrm>
            <a:off x="0" y="83937"/>
            <a:ext cx="2971902"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27" name="32 Rectángulo redondeado">
            <a:hlinkClick xmlns:r="http://schemas.openxmlformats.org/officeDocument/2006/relationships" r:id="rId1"/>
            <a:extLst>
              <a:ext uri="{FF2B5EF4-FFF2-40B4-BE49-F238E27FC236}">
                <a16:creationId xmlns:a16="http://schemas.microsoft.com/office/drawing/2014/main" id="{00000000-0008-0000-0F00-00001B000000}"/>
              </a:ext>
            </a:extLst>
          </xdr:cNvPr>
          <xdr:cNvSpPr/>
        </xdr:nvSpPr>
        <xdr:spPr>
          <a:xfrm>
            <a:off x="3176675" y="139844"/>
            <a:ext cx="1221861" cy="326881"/>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28" name="35 Rectángulo redondeado">
            <a:hlinkClick xmlns:r="http://schemas.openxmlformats.org/officeDocument/2006/relationships" r:id="rId2"/>
            <a:extLst>
              <a:ext uri="{FF2B5EF4-FFF2-40B4-BE49-F238E27FC236}">
                <a16:creationId xmlns:a16="http://schemas.microsoft.com/office/drawing/2014/main" id="{00000000-0008-0000-0F00-00001C000000}"/>
              </a:ext>
            </a:extLst>
          </xdr:cNvPr>
          <xdr:cNvSpPr>
            <a:spLocks/>
          </xdr:cNvSpPr>
        </xdr:nvSpPr>
        <xdr:spPr>
          <a:xfrm>
            <a:off x="109620" y="1179256"/>
            <a:ext cx="1116895" cy="266291"/>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000">
                <a:solidFill>
                  <a:sysClr val="windowText" lastClr="000000"/>
                </a:solidFill>
              </a:rPr>
              <a:t>Models</a:t>
            </a:r>
          </a:p>
        </xdr:txBody>
      </xdr:sp>
      <xdr:sp macro="" textlink="">
        <xdr:nvSpPr>
          <xdr:cNvPr id="29" name="44 Rectángulo redondeado">
            <a:hlinkClick xmlns:r="http://schemas.openxmlformats.org/officeDocument/2006/relationships" r:id="rId3"/>
            <a:extLst>
              <a:ext uri="{FF2B5EF4-FFF2-40B4-BE49-F238E27FC236}">
                <a16:creationId xmlns:a16="http://schemas.microsoft.com/office/drawing/2014/main" id="{00000000-0008-0000-0F00-00001D000000}"/>
              </a:ext>
            </a:extLst>
          </xdr:cNvPr>
          <xdr:cNvSpPr>
            <a:spLocks/>
          </xdr:cNvSpPr>
        </xdr:nvSpPr>
        <xdr:spPr>
          <a:xfrm>
            <a:off x="1283967" y="1179255"/>
            <a:ext cx="1197258" cy="27653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Growth model</a:t>
            </a:r>
          </a:p>
        </xdr:txBody>
      </xdr:sp>
      <xdr:pic>
        <xdr:nvPicPr>
          <xdr:cNvPr id="30" name="Picture 1">
            <a:extLst>
              <a:ext uri="{FF2B5EF4-FFF2-40B4-BE49-F238E27FC236}">
                <a16:creationId xmlns:a16="http://schemas.microsoft.com/office/drawing/2014/main" id="{00000000-0008-0000-0F00-00001E000000}"/>
              </a:ext>
            </a:extLst>
          </xdr:cNvPr>
          <xdr:cNvPicPr>
            <a:picLocks noChangeAspect="1" noChangeArrowheads="1"/>
          </xdr:cNvPicPr>
        </xdr:nvPicPr>
        <xdr:blipFill>
          <a:blip xmlns:r="http://schemas.openxmlformats.org/officeDocument/2006/relationships" r:embed="rId4" cstate="print"/>
          <a:srcRect/>
          <a:stretch>
            <a:fillRect/>
          </a:stretch>
        </xdr:blipFill>
        <xdr:spPr bwMode="auto">
          <a:xfrm>
            <a:off x="5528829" y="17782"/>
            <a:ext cx="723577" cy="526474"/>
          </a:xfrm>
          <a:prstGeom prst="rect">
            <a:avLst/>
          </a:prstGeom>
          <a:noFill/>
          <a:ln w="1">
            <a:noFill/>
            <a:miter lim="800000"/>
            <a:headEnd/>
            <a:tailEnd type="none" w="med" len="med"/>
          </a:ln>
          <a:effectLst/>
        </xdr:spPr>
      </xdr:pic>
      <xdr:sp macro="" textlink="">
        <xdr:nvSpPr>
          <xdr:cNvPr id="32" name="58 Rectángulo redondeado">
            <a:extLst>
              <a:ext uri="{FF2B5EF4-FFF2-40B4-BE49-F238E27FC236}">
                <a16:creationId xmlns:a16="http://schemas.microsoft.com/office/drawing/2014/main" id="{00000000-0008-0000-0F00-000020000000}"/>
              </a:ext>
            </a:extLst>
          </xdr:cNvPr>
          <xdr:cNvSpPr/>
        </xdr:nvSpPr>
        <xdr:spPr>
          <a:xfrm>
            <a:off x="97453" y="581025"/>
            <a:ext cx="1402180" cy="4953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3" name="60 Rectángulo redondeado">
            <a:hlinkClick xmlns:r="http://schemas.openxmlformats.org/officeDocument/2006/relationships" r:id="rId5"/>
            <a:extLst>
              <a:ext uri="{FF2B5EF4-FFF2-40B4-BE49-F238E27FC236}">
                <a16:creationId xmlns:a16="http://schemas.microsoft.com/office/drawing/2014/main" id="{00000000-0008-0000-0F00-000021000000}"/>
              </a:ext>
            </a:extLst>
          </xdr:cNvPr>
          <xdr:cNvSpPr/>
        </xdr:nvSpPr>
        <xdr:spPr>
          <a:xfrm>
            <a:off x="162940" y="668551"/>
            <a:ext cx="1275896"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34" name="58 Rectángulo redondeado">
            <a:extLst>
              <a:ext uri="{FF2B5EF4-FFF2-40B4-BE49-F238E27FC236}">
                <a16:creationId xmlns:a16="http://schemas.microsoft.com/office/drawing/2014/main" id="{00000000-0008-0000-0F00-000022000000}"/>
              </a:ext>
            </a:extLst>
          </xdr:cNvPr>
          <xdr:cNvSpPr/>
        </xdr:nvSpPr>
        <xdr:spPr>
          <a:xfrm>
            <a:off x="3228937" y="600075"/>
            <a:ext cx="1492878"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35" name="58 Rectángulo redondeado">
            <a:extLst>
              <a:ext uri="{FF2B5EF4-FFF2-40B4-BE49-F238E27FC236}">
                <a16:creationId xmlns:a16="http://schemas.microsoft.com/office/drawing/2014/main" id="{00000000-0008-0000-0F00-000023000000}"/>
              </a:ext>
            </a:extLst>
          </xdr:cNvPr>
          <xdr:cNvSpPr/>
        </xdr:nvSpPr>
        <xdr:spPr>
          <a:xfrm>
            <a:off x="1561907" y="590550"/>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36" name="62 Rectángulo redondeado">
            <a:hlinkClick xmlns:r="http://schemas.openxmlformats.org/officeDocument/2006/relationships" r:id="rId6"/>
            <a:extLst>
              <a:ext uri="{FF2B5EF4-FFF2-40B4-BE49-F238E27FC236}">
                <a16:creationId xmlns:a16="http://schemas.microsoft.com/office/drawing/2014/main" id="{00000000-0008-0000-0F00-000024000000}"/>
              </a:ext>
            </a:extLst>
          </xdr:cNvPr>
          <xdr:cNvSpPr/>
        </xdr:nvSpPr>
        <xdr:spPr>
          <a:xfrm>
            <a:off x="1632869" y="68760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37" name="66 Rectángulo redondeado">
            <a:hlinkClick xmlns:r="http://schemas.openxmlformats.org/officeDocument/2006/relationships" r:id="rId7"/>
            <a:extLst>
              <a:ext uri="{FF2B5EF4-FFF2-40B4-BE49-F238E27FC236}">
                <a16:creationId xmlns:a16="http://schemas.microsoft.com/office/drawing/2014/main" id="{00000000-0008-0000-0F00-000025000000}"/>
              </a:ext>
            </a:extLst>
          </xdr:cNvPr>
          <xdr:cNvSpPr/>
        </xdr:nvSpPr>
        <xdr:spPr>
          <a:xfrm>
            <a:off x="3321900" y="687601"/>
            <a:ext cx="1291833"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Simulation Tool</a:t>
            </a:r>
          </a:p>
        </xdr:txBody>
      </xdr:sp>
      <xdr:sp macro="" textlink="">
        <xdr:nvSpPr>
          <xdr:cNvPr id="38" name="53 Rectángulo redondeado">
            <a:hlinkClick xmlns:r="http://schemas.openxmlformats.org/officeDocument/2006/relationships" r:id="rId8"/>
            <a:extLst>
              <a:ext uri="{FF2B5EF4-FFF2-40B4-BE49-F238E27FC236}">
                <a16:creationId xmlns:a16="http://schemas.microsoft.com/office/drawing/2014/main" id="{00000000-0008-0000-0F00-000026000000}"/>
              </a:ext>
            </a:extLst>
          </xdr:cNvPr>
          <xdr:cNvSpPr>
            <a:spLocks/>
          </xdr:cNvSpPr>
        </xdr:nvSpPr>
        <xdr:spPr>
          <a:xfrm>
            <a:off x="3817496" y="1158773"/>
            <a:ext cx="1208395" cy="29740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algn="ctr"/>
            <a:r>
              <a:rPr lang="de-DE" sz="1000">
                <a:solidFill>
                  <a:sysClr val="windowText" lastClr="000000"/>
                </a:solidFill>
              </a:rPr>
              <a:t>Simulation assumptions</a:t>
            </a:r>
          </a:p>
        </xdr:txBody>
      </xdr:sp>
      <xdr:sp macro="" textlink="">
        <xdr:nvSpPr>
          <xdr:cNvPr id="40" name="54 Rectángulo redondeado">
            <a:hlinkClick xmlns:r="http://schemas.openxmlformats.org/officeDocument/2006/relationships" r:id="rId9"/>
            <a:extLst>
              <a:ext uri="{FF2B5EF4-FFF2-40B4-BE49-F238E27FC236}">
                <a16:creationId xmlns:a16="http://schemas.microsoft.com/office/drawing/2014/main" id="{00000000-0008-0000-0F00-000028000000}"/>
              </a:ext>
            </a:extLst>
          </xdr:cNvPr>
          <xdr:cNvSpPr>
            <a:spLocks/>
          </xdr:cNvSpPr>
        </xdr:nvSpPr>
        <xdr:spPr>
          <a:xfrm>
            <a:off x="5058359" y="1158773"/>
            <a:ext cx="1179949" cy="297016"/>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Inventory</a:t>
            </a:r>
            <a:r>
              <a:rPr lang="de-DE" sz="1000" baseline="0">
                <a:solidFill>
                  <a:sysClr val="windowText" lastClr="000000"/>
                </a:solidFill>
                <a:latin typeface="+mn-lt"/>
                <a:ea typeface="+mn-ea"/>
                <a:cs typeface="+mn-cs"/>
              </a:rPr>
              <a:t> simulation</a:t>
            </a:r>
            <a:endParaRPr lang="de-DE" sz="1000">
              <a:solidFill>
                <a:sysClr val="windowText" lastClr="000000"/>
              </a:solidFill>
              <a:latin typeface="+mn-lt"/>
              <a:ea typeface="+mn-ea"/>
              <a:cs typeface="+mn-cs"/>
            </a:endParaRPr>
          </a:p>
        </xdr:txBody>
      </xdr:sp>
      <xdr:sp macro="" textlink="">
        <xdr:nvSpPr>
          <xdr:cNvPr id="41" name="79 Rectángulo redondeado">
            <a:hlinkClick xmlns:r="http://schemas.openxmlformats.org/officeDocument/2006/relationships" r:id="rId10"/>
            <a:extLst>
              <a:ext uri="{FF2B5EF4-FFF2-40B4-BE49-F238E27FC236}">
                <a16:creationId xmlns:a16="http://schemas.microsoft.com/office/drawing/2014/main" id="{00000000-0008-0000-0F00-000029000000}"/>
              </a:ext>
            </a:extLst>
          </xdr:cNvPr>
          <xdr:cNvSpPr>
            <a:spLocks/>
          </xdr:cNvSpPr>
        </xdr:nvSpPr>
        <xdr:spPr>
          <a:xfrm>
            <a:off x="6284808" y="1158771"/>
            <a:ext cx="1158868" cy="30726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000">
                <a:solidFill>
                  <a:sysClr val="windowText" lastClr="000000"/>
                </a:solidFill>
                <a:latin typeface="+mn-lt"/>
                <a:ea typeface="+mn-ea"/>
                <a:cs typeface="+mn-cs"/>
              </a:rPr>
              <a:t>Simulation results</a:t>
            </a:r>
          </a:p>
        </xdr:txBody>
      </xdr:sp>
      <xdr:sp macro="" textlink="">
        <xdr:nvSpPr>
          <xdr:cNvPr id="45" name="44 Rectángulo redondeado">
            <a:hlinkClick xmlns:r="http://schemas.openxmlformats.org/officeDocument/2006/relationships" r:id="rId11"/>
            <a:extLst>
              <a:ext uri="{FF2B5EF4-FFF2-40B4-BE49-F238E27FC236}">
                <a16:creationId xmlns:a16="http://schemas.microsoft.com/office/drawing/2014/main" id="{00000000-0008-0000-0F00-00002D000000}"/>
              </a:ext>
            </a:extLst>
          </xdr:cNvPr>
          <xdr:cNvSpPr>
            <a:spLocks/>
          </xdr:cNvSpPr>
        </xdr:nvSpPr>
        <xdr:spPr>
          <a:xfrm>
            <a:off x="2524889" y="1179255"/>
            <a:ext cx="1246293" cy="277639"/>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000">
                <a:solidFill>
                  <a:sysClr val="windowText" lastClr="000000"/>
                </a:solidFill>
                <a:latin typeface="+mn-lt"/>
                <a:ea typeface="+mn-ea"/>
                <a:cs typeface="+mn-cs"/>
              </a:rPr>
              <a:t>All models</a:t>
            </a:r>
          </a:p>
        </xdr:txBody>
      </xdr:sp>
    </xdr:grpSp>
    <xdr:clientData/>
  </xdr:twoCellAnchor>
  <xdr:twoCellAnchor>
    <xdr:from>
      <xdr:col>6</xdr:col>
      <xdr:colOff>1024194</xdr:colOff>
      <xdr:row>0</xdr:row>
      <xdr:rowOff>163871</xdr:rowOff>
    </xdr:from>
    <xdr:to>
      <xdr:col>7</xdr:col>
      <xdr:colOff>624758</xdr:colOff>
      <xdr:row>0</xdr:row>
      <xdr:rowOff>491613</xdr:rowOff>
    </xdr:to>
    <xdr:sp macro="" textlink="">
      <xdr:nvSpPr>
        <xdr:cNvPr id="25" name="32 Rectángulo redondeado">
          <a:hlinkClick xmlns:r="http://schemas.openxmlformats.org/officeDocument/2006/relationships" r:id="rId12"/>
          <a:extLst>
            <a:ext uri="{FF2B5EF4-FFF2-40B4-BE49-F238E27FC236}">
              <a16:creationId xmlns:a16="http://schemas.microsoft.com/office/drawing/2014/main" id="{00000000-0008-0000-0F00-000019000000}"/>
            </a:ext>
          </a:extLst>
        </xdr:cNvPr>
        <xdr:cNvSpPr>
          <a:spLocks/>
        </xdr:cNvSpPr>
      </xdr:nvSpPr>
      <xdr:spPr>
        <a:xfrm>
          <a:off x="6462662" y="163871"/>
          <a:ext cx="1372419" cy="327742"/>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t">
          <a:noAutofit/>
        </a:bodyPr>
        <a:lstStyle/>
        <a:p>
          <a:pPr lvl="0" algn="ctr"/>
          <a:r>
            <a:rPr lang="de-DE" sz="1000">
              <a:solidFill>
                <a:sysClr val="windowText" lastClr="000000"/>
              </a:solidFill>
            </a:rPr>
            <a:t>About</a:t>
          </a:r>
          <a:r>
            <a:rPr lang="de-DE" sz="1000" baseline="0">
              <a:solidFill>
                <a:sysClr val="windowText" lastClr="000000"/>
              </a:solidFill>
            </a:rPr>
            <a:t> this tool</a:t>
          </a:r>
          <a:endParaRPr lang="de-DE" sz="1000">
            <a:solidFill>
              <a:sysClr val="windowText" lastClr="000000"/>
            </a:solidFill>
          </a:endParaRPr>
        </a:p>
      </xdr:txBody>
    </xdr:sp>
    <xdr:clientData/>
  </xdr:twoCellAnchor>
  <xdr:twoCellAnchor editAs="oneCell">
    <xdr:from>
      <xdr:col>7</xdr:col>
      <xdr:colOff>1935725</xdr:colOff>
      <xdr:row>0</xdr:row>
      <xdr:rowOff>26591</xdr:rowOff>
    </xdr:from>
    <xdr:to>
      <xdr:col>8</xdr:col>
      <xdr:colOff>368710</xdr:colOff>
      <xdr:row>0</xdr:row>
      <xdr:rowOff>569414</xdr:rowOff>
    </xdr:to>
    <xdr:pic>
      <xdr:nvPicPr>
        <xdr:cNvPr id="22" name="Picture 21">
          <a:extLst>
            <a:ext uri="{FF2B5EF4-FFF2-40B4-BE49-F238E27FC236}">
              <a16:creationId xmlns:a16="http://schemas.microsoft.com/office/drawing/2014/main" id="{00000000-0008-0000-0F00-000016000000}"/>
            </a:ext>
          </a:extLst>
        </xdr:cNvPr>
        <xdr:cNvPicPr>
          <a:picLocks noChangeAspect="1" noChangeArrowheads="1"/>
        </xdr:cNvPicPr>
      </xdr:nvPicPr>
      <xdr:blipFill>
        <a:blip xmlns:r="http://schemas.openxmlformats.org/officeDocument/2006/relationships" r:embed="rId13" cstate="email">
          <a:extLst>
            <a:ext uri="{28A0092B-C50C-407E-A947-70E740481C1C}">
              <a14:useLocalDpi xmlns:a14="http://schemas.microsoft.com/office/drawing/2010/main"/>
            </a:ext>
          </a:extLst>
        </a:blip>
        <a:srcRect/>
        <a:stretch>
          <a:fillRect/>
        </a:stretch>
      </xdr:blipFill>
      <xdr:spPr bwMode="auto">
        <a:xfrm>
          <a:off x="9146048" y="26591"/>
          <a:ext cx="542823" cy="54282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xdr:from>
      <xdr:col>2</xdr:col>
      <xdr:colOff>238124</xdr:colOff>
      <xdr:row>5</xdr:row>
      <xdr:rowOff>123824</xdr:rowOff>
    </xdr:from>
    <xdr:to>
      <xdr:col>7</xdr:col>
      <xdr:colOff>619125</xdr:colOff>
      <xdr:row>23</xdr:row>
      <xdr:rowOff>0</xdr:rowOff>
    </xdr:to>
    <xdr:graphicFrame macro="">
      <xdr:nvGraphicFramePr>
        <xdr:cNvPr id="2" name="results_graph">
          <a:extLst>
            <a:ext uri="{FF2B5EF4-FFF2-40B4-BE49-F238E27FC236}">
              <a16:creationId xmlns:a16="http://schemas.microsoft.com/office/drawing/2014/main" id="{00000000-0008-0000-1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38266</xdr:rowOff>
    </xdr:from>
    <xdr:to>
      <xdr:col>11</xdr:col>
      <xdr:colOff>313765</xdr:colOff>
      <xdr:row>0</xdr:row>
      <xdr:rowOff>1628775</xdr:rowOff>
    </xdr:to>
    <xdr:grpSp>
      <xdr:nvGrpSpPr>
        <xdr:cNvPr id="38" name="Group 37">
          <a:extLst>
            <a:ext uri="{FF2B5EF4-FFF2-40B4-BE49-F238E27FC236}">
              <a16:creationId xmlns:a16="http://schemas.microsoft.com/office/drawing/2014/main" id="{00000000-0008-0000-1100-000026000000}"/>
            </a:ext>
          </a:extLst>
        </xdr:cNvPr>
        <xdr:cNvGrpSpPr/>
      </xdr:nvGrpSpPr>
      <xdr:grpSpPr>
        <a:xfrm>
          <a:off x="0" y="38266"/>
          <a:ext cx="9753040" cy="1590509"/>
          <a:chOff x="0" y="38266"/>
          <a:chExt cx="8926862" cy="1590509"/>
        </a:xfrm>
      </xdr:grpSpPr>
      <xdr:sp macro="" textlink="">
        <xdr:nvSpPr>
          <xdr:cNvPr id="39" name="24 Proceso alternativo">
            <a:extLst>
              <a:ext uri="{FF2B5EF4-FFF2-40B4-BE49-F238E27FC236}">
                <a16:creationId xmlns:a16="http://schemas.microsoft.com/office/drawing/2014/main" id="{00000000-0008-0000-1100-000027000000}"/>
              </a:ext>
            </a:extLst>
          </xdr:cNvPr>
          <xdr:cNvSpPr/>
        </xdr:nvSpPr>
        <xdr:spPr>
          <a:xfrm>
            <a:off x="0" y="83937"/>
            <a:ext cx="2971902" cy="371475"/>
          </a:xfrm>
          <a:prstGeom prst="flowChartAlternateProcess">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r>
              <a:rPr lang="de-DE" sz="1400" b="1"/>
              <a:t>FOREST CARBON</a:t>
            </a:r>
            <a:r>
              <a:rPr lang="de-DE" sz="1400" b="1" baseline="0"/>
              <a:t> MONITORING TOOL</a:t>
            </a:r>
            <a:endParaRPr lang="de-DE" sz="1400" b="1"/>
          </a:p>
        </xdr:txBody>
      </xdr:sp>
      <xdr:sp macro="" textlink="">
        <xdr:nvSpPr>
          <xdr:cNvPr id="40" name="32 Rectángulo redondeado">
            <a:hlinkClick xmlns:r="http://schemas.openxmlformats.org/officeDocument/2006/relationships" r:id="rId2"/>
            <a:extLst>
              <a:ext uri="{FF2B5EF4-FFF2-40B4-BE49-F238E27FC236}">
                <a16:creationId xmlns:a16="http://schemas.microsoft.com/office/drawing/2014/main" id="{00000000-0008-0000-1100-000028000000}"/>
              </a:ext>
            </a:extLst>
          </xdr:cNvPr>
          <xdr:cNvSpPr/>
        </xdr:nvSpPr>
        <xdr:spPr>
          <a:xfrm>
            <a:off x="3176675" y="139844"/>
            <a:ext cx="1710537" cy="2571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IPCC default</a:t>
            </a:r>
            <a:r>
              <a:rPr lang="de-DE" sz="1100" baseline="0"/>
              <a:t> values</a:t>
            </a:r>
            <a:endParaRPr lang="de-DE" sz="1100"/>
          </a:p>
        </xdr:txBody>
      </xdr:sp>
      <xdr:sp macro="" textlink="">
        <xdr:nvSpPr>
          <xdr:cNvPr id="41" name="35 Rectángulo redondeado">
            <a:hlinkClick xmlns:r="http://schemas.openxmlformats.org/officeDocument/2006/relationships" r:id="rId3"/>
            <a:extLst>
              <a:ext uri="{FF2B5EF4-FFF2-40B4-BE49-F238E27FC236}">
                <a16:creationId xmlns:a16="http://schemas.microsoft.com/office/drawing/2014/main" id="{00000000-0008-0000-1100-000029000000}"/>
              </a:ext>
            </a:extLst>
          </xdr:cNvPr>
          <xdr:cNvSpPr>
            <a:spLocks/>
          </xdr:cNvSpPr>
        </xdr:nvSpPr>
        <xdr:spPr>
          <a:xfrm>
            <a:off x="108222" y="1314451"/>
            <a:ext cx="1347669" cy="28462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Models</a:t>
            </a:r>
          </a:p>
        </xdr:txBody>
      </xdr:sp>
      <xdr:sp macro="" textlink="">
        <xdr:nvSpPr>
          <xdr:cNvPr id="42" name="44 Rectángulo redondeado">
            <a:hlinkClick xmlns:r="http://schemas.openxmlformats.org/officeDocument/2006/relationships" r:id="rId4"/>
            <a:extLst>
              <a:ext uri="{FF2B5EF4-FFF2-40B4-BE49-F238E27FC236}">
                <a16:creationId xmlns:a16="http://schemas.microsoft.com/office/drawing/2014/main" id="{00000000-0008-0000-1100-00002A000000}"/>
              </a:ext>
            </a:extLst>
          </xdr:cNvPr>
          <xdr:cNvSpPr>
            <a:spLocks/>
          </xdr:cNvSpPr>
        </xdr:nvSpPr>
        <xdr:spPr>
          <a:xfrm>
            <a:off x="1527051" y="1314450"/>
            <a:ext cx="1393451" cy="28631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100">
                <a:solidFill>
                  <a:sysClr val="windowText" lastClr="000000"/>
                </a:solidFill>
                <a:latin typeface="+mn-lt"/>
                <a:ea typeface="+mn-ea"/>
                <a:cs typeface="+mn-cs"/>
              </a:rPr>
              <a:t>Growth</a:t>
            </a:r>
            <a:r>
              <a:rPr lang="de-DE" sz="1000">
                <a:solidFill>
                  <a:sysClr val="windowText" lastClr="000000"/>
                </a:solidFill>
                <a:latin typeface="+mn-lt"/>
                <a:ea typeface="+mn-ea"/>
                <a:cs typeface="+mn-cs"/>
              </a:rPr>
              <a:t> model</a:t>
            </a:r>
          </a:p>
        </xdr:txBody>
      </xdr:sp>
      <xdr:pic>
        <xdr:nvPicPr>
          <xdr:cNvPr id="43" name="Picture 1">
            <a:extLst>
              <a:ext uri="{FF2B5EF4-FFF2-40B4-BE49-F238E27FC236}">
                <a16:creationId xmlns:a16="http://schemas.microsoft.com/office/drawing/2014/main" id="{00000000-0008-0000-1100-00002B000000}"/>
              </a:ext>
            </a:extLst>
          </xdr:cNvPr>
          <xdr:cNvPicPr>
            <a:picLocks noChangeAspect="1" noChangeArrowheads="1"/>
          </xdr:cNvPicPr>
        </xdr:nvPicPr>
        <xdr:blipFill>
          <a:blip xmlns:r="http://schemas.openxmlformats.org/officeDocument/2006/relationships" r:embed="rId5" cstate="print"/>
          <a:srcRect/>
          <a:stretch>
            <a:fillRect/>
          </a:stretch>
        </xdr:blipFill>
        <xdr:spPr bwMode="auto">
          <a:xfrm>
            <a:off x="6330386" y="38266"/>
            <a:ext cx="981583" cy="476384"/>
          </a:xfrm>
          <a:prstGeom prst="rect">
            <a:avLst/>
          </a:prstGeom>
          <a:noFill/>
          <a:ln w="1">
            <a:noFill/>
            <a:miter lim="800000"/>
            <a:headEnd/>
            <a:tailEnd type="none" w="med" len="med"/>
          </a:ln>
          <a:effectLst/>
        </xdr:spPr>
      </xdr:pic>
      <xdr:sp macro="" textlink="">
        <xdr:nvSpPr>
          <xdr:cNvPr id="45" name="58 Rectángulo redondeado">
            <a:extLst>
              <a:ext uri="{FF2B5EF4-FFF2-40B4-BE49-F238E27FC236}">
                <a16:creationId xmlns:a16="http://schemas.microsoft.com/office/drawing/2014/main" id="{00000000-0008-0000-1100-00002D000000}"/>
              </a:ext>
            </a:extLst>
          </xdr:cNvPr>
          <xdr:cNvSpPr/>
        </xdr:nvSpPr>
        <xdr:spPr>
          <a:xfrm>
            <a:off x="97452"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6" name="60 Rectángulo redondeado">
            <a:hlinkClick xmlns:r="http://schemas.openxmlformats.org/officeDocument/2006/relationships" r:id="rId6"/>
            <a:extLst>
              <a:ext uri="{FF2B5EF4-FFF2-40B4-BE49-F238E27FC236}">
                <a16:creationId xmlns:a16="http://schemas.microsoft.com/office/drawing/2014/main" id="{00000000-0008-0000-1100-00002E000000}"/>
              </a:ext>
            </a:extLst>
          </xdr:cNvPr>
          <xdr:cNvSpPr/>
        </xdr:nvSpPr>
        <xdr:spPr>
          <a:xfrm>
            <a:off x="162940"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solidFill>
                  <a:sysClr val="windowText" lastClr="000000"/>
                </a:solidFill>
              </a:rPr>
              <a:t>General Information</a:t>
            </a:r>
          </a:p>
        </xdr:txBody>
      </xdr:sp>
      <xdr:sp macro="" textlink="">
        <xdr:nvSpPr>
          <xdr:cNvPr id="47" name="58 Rectángulo redondeado">
            <a:extLst>
              <a:ext uri="{FF2B5EF4-FFF2-40B4-BE49-F238E27FC236}">
                <a16:creationId xmlns:a16="http://schemas.microsoft.com/office/drawing/2014/main" id="{00000000-0008-0000-1100-00002F000000}"/>
              </a:ext>
            </a:extLst>
          </xdr:cNvPr>
          <xdr:cNvSpPr/>
        </xdr:nvSpPr>
        <xdr:spPr>
          <a:xfrm>
            <a:off x="3377627" y="581025"/>
            <a:ext cx="1584000" cy="504000"/>
          </a:xfrm>
          <a:prstGeom prst="roundRect">
            <a:avLst/>
          </a:prstGeom>
        </xdr:spPr>
        <xdr:style>
          <a:lnRef idx="0">
            <a:schemeClr val="accent1"/>
          </a:lnRef>
          <a:fillRef idx="3">
            <a:schemeClr val="accent1"/>
          </a:fillRef>
          <a:effectRef idx="3">
            <a:schemeClr val="accent1"/>
          </a:effectRef>
          <a:fontRef idx="minor">
            <a:schemeClr val="lt1"/>
          </a:fontRef>
        </xdr:style>
        <xdr:txBody>
          <a:bodyPr vertOverflow="clip" rtlCol="0" anchor="ctr"/>
          <a:lstStyle/>
          <a:p>
            <a:pPr algn="ctr"/>
            <a:endParaRPr lang="de-DE" sz="1100"/>
          </a:p>
        </xdr:txBody>
      </xdr:sp>
      <xdr:sp macro="" textlink="">
        <xdr:nvSpPr>
          <xdr:cNvPr id="48" name="58 Rectángulo redondeado">
            <a:extLst>
              <a:ext uri="{FF2B5EF4-FFF2-40B4-BE49-F238E27FC236}">
                <a16:creationId xmlns:a16="http://schemas.microsoft.com/office/drawing/2014/main" id="{00000000-0008-0000-1100-000030000000}"/>
              </a:ext>
            </a:extLst>
          </xdr:cNvPr>
          <xdr:cNvSpPr/>
        </xdr:nvSpPr>
        <xdr:spPr>
          <a:xfrm>
            <a:off x="1737540" y="581025"/>
            <a:ext cx="1584000" cy="504000"/>
          </a:xfrm>
          <a:prstGeom prst="roundRect">
            <a:avLst/>
          </a:prstGeom>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endParaRPr lang="de-DE" sz="1100"/>
          </a:p>
        </xdr:txBody>
      </xdr:sp>
      <xdr:sp macro="" textlink="">
        <xdr:nvSpPr>
          <xdr:cNvPr id="49" name="62 Rectángulo redondeado">
            <a:hlinkClick xmlns:r="http://schemas.openxmlformats.org/officeDocument/2006/relationships" r:id="rId7"/>
            <a:extLst>
              <a:ext uri="{FF2B5EF4-FFF2-40B4-BE49-F238E27FC236}">
                <a16:creationId xmlns:a16="http://schemas.microsoft.com/office/drawing/2014/main" id="{00000000-0008-0000-1100-000031000000}"/>
              </a:ext>
            </a:extLst>
          </xdr:cNvPr>
          <xdr:cNvSpPr/>
        </xdr:nvSpPr>
        <xdr:spPr>
          <a:xfrm>
            <a:off x="1828767" y="668551"/>
            <a:ext cx="1404000" cy="3240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algn="ctr"/>
            <a:r>
              <a:rPr lang="de-DE" sz="1100"/>
              <a:t>Monitoring</a:t>
            </a:r>
            <a:r>
              <a:rPr lang="de-DE" sz="1100" baseline="0"/>
              <a:t> Tool</a:t>
            </a:r>
            <a:endParaRPr lang="de-DE" sz="1100"/>
          </a:p>
        </xdr:txBody>
      </xdr:sp>
      <xdr:sp macro="" textlink="">
        <xdr:nvSpPr>
          <xdr:cNvPr id="50" name="66 Rectángulo redondeado">
            <a:hlinkClick xmlns:r="http://schemas.openxmlformats.org/officeDocument/2006/relationships" r:id="rId8"/>
            <a:extLst>
              <a:ext uri="{FF2B5EF4-FFF2-40B4-BE49-F238E27FC236}">
                <a16:creationId xmlns:a16="http://schemas.microsoft.com/office/drawing/2014/main" id="{00000000-0008-0000-1100-000032000000}"/>
              </a:ext>
            </a:extLst>
          </xdr:cNvPr>
          <xdr:cNvSpPr/>
        </xdr:nvSpPr>
        <xdr:spPr>
          <a:xfrm>
            <a:off x="3484022" y="668551"/>
            <a:ext cx="1404000" cy="324000"/>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rtlCol="0" anchor="ctr"/>
          <a:lstStyle/>
          <a:p>
            <a:pPr algn="ctr"/>
            <a:r>
              <a:rPr lang="de-DE" sz="1100"/>
              <a:t>Simulation Tool</a:t>
            </a:r>
          </a:p>
        </xdr:txBody>
      </xdr:sp>
      <xdr:sp macro="" textlink="">
        <xdr:nvSpPr>
          <xdr:cNvPr id="51" name="53 Rectángulo redondeado">
            <a:hlinkClick xmlns:r="http://schemas.openxmlformats.org/officeDocument/2006/relationships" r:id="rId9"/>
            <a:extLst>
              <a:ext uri="{FF2B5EF4-FFF2-40B4-BE49-F238E27FC236}">
                <a16:creationId xmlns:a16="http://schemas.microsoft.com/office/drawing/2014/main" id="{00000000-0008-0000-1100-000033000000}"/>
              </a:ext>
            </a:extLst>
          </xdr:cNvPr>
          <xdr:cNvSpPr>
            <a:spLocks/>
          </xdr:cNvSpPr>
        </xdr:nvSpPr>
        <xdr:spPr>
          <a:xfrm>
            <a:off x="4431549" y="1304925"/>
            <a:ext cx="1409452" cy="304800"/>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algn="ctr"/>
            <a:r>
              <a:rPr lang="de-DE" sz="1100">
                <a:solidFill>
                  <a:sysClr val="windowText" lastClr="000000"/>
                </a:solidFill>
              </a:rPr>
              <a:t>Simulation assumptions</a:t>
            </a:r>
          </a:p>
        </xdr:txBody>
      </xdr:sp>
      <xdr:sp macro="" textlink="">
        <xdr:nvSpPr>
          <xdr:cNvPr id="52" name="54 Rectángulo redondeado">
            <a:hlinkClick xmlns:r="http://schemas.openxmlformats.org/officeDocument/2006/relationships" r:id="rId10"/>
            <a:extLst>
              <a:ext uri="{FF2B5EF4-FFF2-40B4-BE49-F238E27FC236}">
                <a16:creationId xmlns:a16="http://schemas.microsoft.com/office/drawing/2014/main" id="{00000000-0008-0000-1100-000034000000}"/>
              </a:ext>
            </a:extLst>
          </xdr:cNvPr>
          <xdr:cNvSpPr>
            <a:spLocks/>
          </xdr:cNvSpPr>
        </xdr:nvSpPr>
        <xdr:spPr>
          <a:xfrm>
            <a:off x="5907785" y="1304925"/>
            <a:ext cx="1397825" cy="314325"/>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lstStyle/>
          <a:p>
            <a:pPr marL="0" indent="0" algn="ctr"/>
            <a:r>
              <a:rPr lang="de-DE" sz="1100">
                <a:solidFill>
                  <a:sysClr val="windowText" lastClr="000000"/>
                </a:solidFill>
                <a:latin typeface="+mn-lt"/>
                <a:ea typeface="+mn-ea"/>
                <a:cs typeface="+mn-cs"/>
              </a:rPr>
              <a:t>Inventory</a:t>
            </a:r>
            <a:r>
              <a:rPr lang="de-DE" sz="1100" baseline="0">
                <a:solidFill>
                  <a:sysClr val="windowText" lastClr="000000"/>
                </a:solidFill>
                <a:latin typeface="+mn-lt"/>
                <a:ea typeface="+mn-ea"/>
                <a:cs typeface="+mn-cs"/>
              </a:rPr>
              <a:t> simulation</a:t>
            </a:r>
            <a:endParaRPr lang="de-DE" sz="1100">
              <a:solidFill>
                <a:sysClr val="windowText" lastClr="000000"/>
              </a:solidFill>
              <a:latin typeface="+mn-lt"/>
              <a:ea typeface="+mn-ea"/>
              <a:cs typeface="+mn-cs"/>
            </a:endParaRPr>
          </a:p>
        </xdr:txBody>
      </xdr:sp>
      <xdr:sp macro="" textlink="">
        <xdr:nvSpPr>
          <xdr:cNvPr id="53" name="79 Rectángulo redondeado">
            <a:hlinkClick xmlns:r="http://schemas.openxmlformats.org/officeDocument/2006/relationships" r:id="rId11"/>
            <a:extLst>
              <a:ext uri="{FF2B5EF4-FFF2-40B4-BE49-F238E27FC236}">
                <a16:creationId xmlns:a16="http://schemas.microsoft.com/office/drawing/2014/main" id="{00000000-0008-0000-1100-000035000000}"/>
              </a:ext>
            </a:extLst>
          </xdr:cNvPr>
          <xdr:cNvSpPr>
            <a:spLocks/>
          </xdr:cNvSpPr>
        </xdr:nvSpPr>
        <xdr:spPr>
          <a:xfrm>
            <a:off x="7353861" y="1295400"/>
            <a:ext cx="1573001" cy="333375"/>
          </a:xfrm>
          <a:prstGeom prst="roundRect">
            <a:avLst/>
          </a:prstGeom>
        </xdr:spPr>
        <xdr:style>
          <a:lnRef idx="1">
            <a:schemeClr val="accent1"/>
          </a:lnRef>
          <a:fillRef idx="2">
            <a:schemeClr val="accent1"/>
          </a:fillRef>
          <a:effectRef idx="1">
            <a:schemeClr val="accent1"/>
          </a:effectRef>
          <a:fontRef idx="minor">
            <a:schemeClr val="dk1"/>
          </a:fontRef>
        </xdr:style>
        <xdr:txBody>
          <a:bodyPr vertOverflow="clip" lIns="36000" tIns="36000" rIns="36000" bIns="36000" rtlCol="0" anchor="ctr"/>
          <a:lstStyle/>
          <a:p>
            <a:pPr marL="0" indent="0" algn="ctr"/>
            <a:r>
              <a:rPr lang="de-DE" sz="1100">
                <a:solidFill>
                  <a:sysClr val="windowText" lastClr="000000"/>
                </a:solidFill>
                <a:latin typeface="+mn-lt"/>
                <a:ea typeface="+mn-ea"/>
                <a:cs typeface="+mn-cs"/>
              </a:rPr>
              <a:t>Simulation results</a:t>
            </a:r>
          </a:p>
        </xdr:txBody>
      </xdr:sp>
      <xdr:sp macro="" textlink="">
        <xdr:nvSpPr>
          <xdr:cNvPr id="54" name="44 Rectángulo redondeado">
            <a:hlinkClick xmlns:r="http://schemas.openxmlformats.org/officeDocument/2006/relationships" r:id="rId12"/>
            <a:extLst>
              <a:ext uri="{FF2B5EF4-FFF2-40B4-BE49-F238E27FC236}">
                <a16:creationId xmlns:a16="http://schemas.microsoft.com/office/drawing/2014/main" id="{00000000-0008-0000-1100-000036000000}"/>
              </a:ext>
            </a:extLst>
          </xdr:cNvPr>
          <xdr:cNvSpPr>
            <a:spLocks/>
          </xdr:cNvSpPr>
        </xdr:nvSpPr>
        <xdr:spPr>
          <a:xfrm>
            <a:off x="2971842" y="1314450"/>
            <a:ext cx="1395832" cy="294153"/>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rtlCol="0" anchor="ctr"/>
          <a:lstStyle/>
          <a:p>
            <a:pPr marL="0" indent="0" algn="ctr"/>
            <a:r>
              <a:rPr lang="de-DE" sz="1100">
                <a:solidFill>
                  <a:sysClr val="windowText" lastClr="000000"/>
                </a:solidFill>
                <a:latin typeface="+mn-lt"/>
                <a:ea typeface="+mn-ea"/>
                <a:cs typeface="+mn-cs"/>
              </a:rPr>
              <a:t>All models</a:t>
            </a:r>
          </a:p>
        </xdr:txBody>
      </xdr:sp>
    </xdr:grpSp>
    <xdr:clientData/>
  </xdr:twoCellAnchor>
  <mc:AlternateContent xmlns:mc="http://schemas.openxmlformats.org/markup-compatibility/2006">
    <mc:Choice xmlns:a14="http://schemas.microsoft.com/office/drawing/2010/main" Requires="a14">
      <xdr:twoCellAnchor>
        <xdr:from>
          <xdr:col>2</xdr:col>
          <xdr:colOff>0</xdr:colOff>
          <xdr:row>3</xdr:row>
          <xdr:rowOff>66675</xdr:rowOff>
        </xdr:from>
        <xdr:to>
          <xdr:col>4</xdr:col>
          <xdr:colOff>561975</xdr:colOff>
          <xdr:row>4</xdr:row>
          <xdr:rowOff>180975</xdr:rowOff>
        </xdr:to>
        <xdr:sp macro="" textlink="">
          <xdr:nvSpPr>
            <xdr:cNvPr id="34818" name="Button 2" hidden="1">
              <a:extLst>
                <a:ext uri="{63B3BB69-23CF-44E3-9099-C40C66FF867C}">
                  <a14:compatExt spid="_x0000_s34818"/>
                </a:ext>
                <a:ext uri="{FF2B5EF4-FFF2-40B4-BE49-F238E27FC236}">
                  <a16:creationId xmlns:a16="http://schemas.microsoft.com/office/drawing/2014/main" id="{00000000-0008-0000-1100-0000028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en-GB" sz="1400" b="1" i="0" u="none" strike="noStrike" baseline="0">
                  <a:solidFill>
                    <a:srgbClr val="000000"/>
                  </a:solidFill>
                  <a:latin typeface="Calibri"/>
                  <a:cs typeface="Calibri"/>
                </a:rPr>
                <a:t>Refresh results tables</a:t>
              </a:r>
            </a:p>
          </xdr:txBody>
        </xdr:sp>
        <xdr:clientData fPrintsWithSheet="0"/>
      </xdr:twoCellAnchor>
    </mc:Choice>
    <mc:Fallback/>
  </mc:AlternateContent>
  <xdr:twoCellAnchor>
    <xdr:from>
      <xdr:col>6</xdr:col>
      <xdr:colOff>593912</xdr:colOff>
      <xdr:row>0</xdr:row>
      <xdr:rowOff>112060</xdr:rowOff>
    </xdr:from>
    <xdr:to>
      <xdr:col>7</xdr:col>
      <xdr:colOff>782240</xdr:colOff>
      <xdr:row>0</xdr:row>
      <xdr:rowOff>401548</xdr:rowOff>
    </xdr:to>
    <xdr:sp macro="" textlink="">
      <xdr:nvSpPr>
        <xdr:cNvPr id="21" name="32 Rectángulo redondeado">
          <a:hlinkClick xmlns:r="http://schemas.openxmlformats.org/officeDocument/2006/relationships" r:id="rId13"/>
          <a:extLst>
            <a:ext uri="{FF2B5EF4-FFF2-40B4-BE49-F238E27FC236}">
              <a16:creationId xmlns:a16="http://schemas.microsoft.com/office/drawing/2014/main" id="{00000000-0008-0000-1100-000015000000}"/>
            </a:ext>
          </a:extLst>
        </xdr:cNvPr>
        <xdr:cNvSpPr>
          <a:spLocks/>
        </xdr:cNvSpPr>
      </xdr:nvSpPr>
      <xdr:spPr>
        <a:xfrm>
          <a:off x="5423647" y="112060"/>
          <a:ext cx="1308917" cy="289488"/>
        </a:xfrm>
        <a:prstGeom prst="roundRect">
          <a:avLst/>
        </a:prstGeom>
      </xdr:spPr>
      <xdr:style>
        <a:lnRef idx="1">
          <a:schemeClr val="accent5"/>
        </a:lnRef>
        <a:fillRef idx="2">
          <a:schemeClr val="accent5"/>
        </a:fillRef>
        <a:effectRef idx="1">
          <a:schemeClr val="accent5"/>
        </a:effectRef>
        <a:fontRef idx="minor">
          <a:schemeClr val="dk1"/>
        </a:fontRef>
      </xdr:style>
      <xdr:txBody>
        <a:bodyPr vertOverflow="clip" lIns="36000" tIns="36000" rIns="36000" bIns="36000" rtlCol="0" anchor="ctr">
          <a:noAutofit/>
        </a:bodyPr>
        <a:lstStyle/>
        <a:p>
          <a:pPr lvl="0" algn="ctr"/>
          <a:r>
            <a:rPr lang="de-DE" sz="1050">
              <a:solidFill>
                <a:sysClr val="windowText" lastClr="000000"/>
              </a:solidFill>
            </a:rPr>
            <a:t>About</a:t>
          </a:r>
          <a:r>
            <a:rPr lang="de-DE" sz="1050" baseline="0">
              <a:solidFill>
                <a:sysClr val="windowText" lastClr="000000"/>
              </a:solidFill>
            </a:rPr>
            <a:t> this tool</a:t>
          </a:r>
          <a:endParaRPr lang="de-DE" sz="1050">
            <a:solidFill>
              <a:sysClr val="windowText" lastClr="000000"/>
            </a:solidFill>
          </a:endParaRPr>
        </a:p>
      </xdr:txBody>
    </xdr:sp>
    <xdr:clientData/>
  </xdr:twoCellAnchor>
  <xdr:twoCellAnchor editAs="oneCell">
    <xdr:from>
      <xdr:col>9</xdr:col>
      <xdr:colOff>156883</xdr:colOff>
      <xdr:row>0</xdr:row>
      <xdr:rowOff>15854</xdr:rowOff>
    </xdr:from>
    <xdr:to>
      <xdr:col>9</xdr:col>
      <xdr:colOff>694766</xdr:colOff>
      <xdr:row>0</xdr:row>
      <xdr:rowOff>553737</xdr:rowOff>
    </xdr:to>
    <xdr:pic>
      <xdr:nvPicPr>
        <xdr:cNvPr id="22" name="Picture 21">
          <a:extLst>
            <a:ext uri="{FF2B5EF4-FFF2-40B4-BE49-F238E27FC236}">
              <a16:creationId xmlns:a16="http://schemas.microsoft.com/office/drawing/2014/main" id="{00000000-0008-0000-1100-000016000000}"/>
            </a:ext>
          </a:extLst>
        </xdr:cNvPr>
        <xdr:cNvPicPr>
          <a:picLocks noChangeAspect="1" noChangeArrowheads="1"/>
        </xdr:cNvPicPr>
      </xdr:nvPicPr>
      <xdr:blipFill>
        <a:blip xmlns:r="http://schemas.openxmlformats.org/officeDocument/2006/relationships" r:embed="rId14" cstate="email">
          <a:extLst>
            <a:ext uri="{28A0092B-C50C-407E-A947-70E740481C1C}">
              <a14:useLocalDpi xmlns:a14="http://schemas.microsoft.com/office/drawing/2010/main"/>
            </a:ext>
          </a:extLst>
        </a:blip>
        <a:srcRect/>
        <a:stretch>
          <a:fillRect/>
        </a:stretch>
      </xdr:blipFill>
      <xdr:spPr bwMode="auto">
        <a:xfrm>
          <a:off x="8045824" y="15854"/>
          <a:ext cx="537883" cy="5378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file:///C:\Users\i.calo\AppData\Local\Microsoft\Windows\Temporary%20Internet%20Files\Content.Outlook\A2JINNYF\Users\i.calo\AppData\Local\Microsoft\Windows\Temporary%20Internet%20Files\Content.Outlook\A2JINNYF\2015-02-03%20FSC%20Tool_final_FMU_8551_ICa.xlsm?24D9155B" TargetMode="External"/><Relationship Id="rId1" Type="http://schemas.openxmlformats.org/officeDocument/2006/relationships/externalLinkPath" Target="file:///\\24D9155B\2015-02-03%20FSC%20Tool_final_FMU_8551_ICa.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sults_"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Accuracy"/>
      <sheetName val="General Data"/>
      <sheetName val="Default_Values"/>
      <sheetName val="Species"/>
      <sheetName val="Strata"/>
      <sheetName val="Management"/>
      <sheetName val="HWP"/>
      <sheetName val="Inventory_data"/>
      <sheetName val="Int_calc2"/>
      <sheetName val="Int_calc3"/>
      <sheetName val="Results"/>
      <sheetName val="Models"/>
      <sheetName val="Growth Model"/>
      <sheetName val="All_Models"/>
      <sheetName val="Simulation_assumptions"/>
      <sheetName val="Inventory_Simulation"/>
      <sheetName val="Simulation_Int_Calc"/>
      <sheetName val="Results_Simulation"/>
    </sheetNames>
    <sheetDataSet>
      <sheetData sheetId="0" refreshError="1"/>
      <sheetData sheetId="1" refreshError="1"/>
      <sheetData sheetId="2" refreshError="1"/>
      <sheetData sheetId="3" refreshError="1"/>
      <sheetData sheetId="4" refreshError="1"/>
      <sheetData sheetId="5">
        <row r="12">
          <cell r="B12" t="str">
            <v>0004A00043</v>
          </cell>
        </row>
        <row r="13">
          <cell r="B13" t="str">
            <v>0004A00072</v>
          </cell>
        </row>
        <row r="14">
          <cell r="B14" t="str">
            <v>0004A00092</v>
          </cell>
        </row>
        <row r="15">
          <cell r="B15" t="str">
            <v>0004A00114</v>
          </cell>
        </row>
        <row r="16">
          <cell r="B16" t="str">
            <v>0004A00157</v>
          </cell>
        </row>
        <row r="17">
          <cell r="B17" t="str">
            <v>0004A00176</v>
          </cell>
        </row>
        <row r="18">
          <cell r="B18" t="str">
            <v>0004A00188</v>
          </cell>
        </row>
        <row r="19">
          <cell r="B19" t="str">
            <v>0004A00221</v>
          </cell>
        </row>
        <row r="20">
          <cell r="B20" t="str">
            <v>0004A00222</v>
          </cell>
        </row>
        <row r="21">
          <cell r="B21" t="str">
            <v>0004A00230</v>
          </cell>
        </row>
        <row r="22">
          <cell r="B22" t="str">
            <v>0004A00231</v>
          </cell>
        </row>
        <row r="23">
          <cell r="B23" t="str">
            <v>0004A00253</v>
          </cell>
        </row>
        <row r="24">
          <cell r="B24" t="str">
            <v>0004A00260</v>
          </cell>
        </row>
        <row r="25">
          <cell r="B25" t="str">
            <v>0004A00265</v>
          </cell>
        </row>
        <row r="26">
          <cell r="B26" t="str">
            <v>0004A00269</v>
          </cell>
        </row>
        <row r="27">
          <cell r="B27" t="str">
            <v>0004A00283</v>
          </cell>
        </row>
        <row r="28">
          <cell r="B28" t="str">
            <v>0004A00302</v>
          </cell>
        </row>
        <row r="29">
          <cell r="B29" t="str">
            <v>0004A00307</v>
          </cell>
        </row>
        <row r="30">
          <cell r="B30" t="str">
            <v>0004A00309</v>
          </cell>
        </row>
        <row r="31">
          <cell r="B31" t="str">
            <v>0004A00314</v>
          </cell>
        </row>
        <row r="32">
          <cell r="B32" t="str">
            <v>0004A00315</v>
          </cell>
        </row>
        <row r="33">
          <cell r="B33" t="str">
            <v>0004A00318</v>
          </cell>
        </row>
        <row r="34">
          <cell r="B34" t="str">
            <v>0004A00331</v>
          </cell>
        </row>
        <row r="35">
          <cell r="B35" t="str">
            <v>0004A00332</v>
          </cell>
        </row>
        <row r="36">
          <cell r="B36" t="str">
            <v>0004A00427</v>
          </cell>
        </row>
        <row r="37">
          <cell r="B37" t="str">
            <v>0004A00445</v>
          </cell>
        </row>
        <row r="38">
          <cell r="B38" t="str">
            <v>0004A00476</v>
          </cell>
        </row>
        <row r="39">
          <cell r="B39" t="str">
            <v>0004A00484</v>
          </cell>
        </row>
        <row r="40">
          <cell r="B40" t="str">
            <v>0004A00489</v>
          </cell>
        </row>
        <row r="41">
          <cell r="B41" t="str">
            <v>0004A00549</v>
          </cell>
        </row>
        <row r="42">
          <cell r="B42" t="str">
            <v>0004A00555</v>
          </cell>
        </row>
        <row r="43">
          <cell r="B43" t="str">
            <v>0004A00570</v>
          </cell>
        </row>
        <row r="44">
          <cell r="B44" t="str">
            <v>0004A00592</v>
          </cell>
        </row>
        <row r="45">
          <cell r="B45" t="str">
            <v>0004A00594</v>
          </cell>
        </row>
        <row r="46">
          <cell r="B46" t="str">
            <v>0004A00615</v>
          </cell>
        </row>
        <row r="47">
          <cell r="B47" t="str">
            <v>0004A00640</v>
          </cell>
        </row>
        <row r="48">
          <cell r="B48" t="str">
            <v>0004A00647</v>
          </cell>
        </row>
        <row r="49">
          <cell r="B49" t="str">
            <v>0004A00664</v>
          </cell>
        </row>
        <row r="50">
          <cell r="B50" t="str">
            <v>0004A00715</v>
          </cell>
        </row>
        <row r="51">
          <cell r="B51" t="str">
            <v>0004A00729</v>
          </cell>
        </row>
        <row r="52">
          <cell r="B52" t="str">
            <v>0004A00746</v>
          </cell>
        </row>
        <row r="53">
          <cell r="B53" t="str">
            <v>0004A00761</v>
          </cell>
        </row>
        <row r="54">
          <cell r="B54" t="str">
            <v>0004A00771</v>
          </cell>
        </row>
        <row r="55">
          <cell r="B55" t="str">
            <v>0004A00784</v>
          </cell>
        </row>
        <row r="56">
          <cell r="B56" t="str">
            <v>0004A00830</v>
          </cell>
        </row>
        <row r="57">
          <cell r="B57" t="str">
            <v>0004A00843</v>
          </cell>
        </row>
        <row r="58">
          <cell r="B58" t="str">
            <v>0004A00844</v>
          </cell>
        </row>
        <row r="59">
          <cell r="B59" t="str">
            <v>0004A00853</v>
          </cell>
        </row>
        <row r="60">
          <cell r="B60" t="str">
            <v>0004A05792</v>
          </cell>
        </row>
        <row r="61">
          <cell r="B61" t="str">
            <v>0004A06008</v>
          </cell>
        </row>
        <row r="62">
          <cell r="B62" t="str">
            <v>0004A06161</v>
          </cell>
        </row>
        <row r="63">
          <cell r="B63" t="str">
            <v>0004A06163</v>
          </cell>
        </row>
        <row r="64">
          <cell r="B64" t="str">
            <v>0004A06523</v>
          </cell>
        </row>
        <row r="65">
          <cell r="B65" t="str">
            <v>0004A06524</v>
          </cell>
        </row>
        <row r="66">
          <cell r="B66" t="str">
            <v>0004A06526</v>
          </cell>
        </row>
        <row r="67">
          <cell r="B67" t="str">
            <v>0004A06527</v>
          </cell>
        </row>
        <row r="68">
          <cell r="B68" t="str">
            <v>0004A06529</v>
          </cell>
        </row>
        <row r="69">
          <cell r="B69" t="str">
            <v>0004A06546</v>
          </cell>
        </row>
        <row r="70">
          <cell r="B70" t="str">
            <v>0004A06549</v>
          </cell>
        </row>
        <row r="71">
          <cell r="B71" t="str">
            <v>0004A06552</v>
          </cell>
        </row>
        <row r="72">
          <cell r="B72" t="str">
            <v>0004A06559</v>
          </cell>
        </row>
        <row r="73">
          <cell r="B73" t="str">
            <v>0004A06560</v>
          </cell>
        </row>
        <row r="74">
          <cell r="B74" t="str">
            <v>0004A06576</v>
          </cell>
        </row>
        <row r="75">
          <cell r="B75" t="str">
            <v>0004A06653</v>
          </cell>
        </row>
        <row r="76">
          <cell r="B76" t="str">
            <v>0004A06678</v>
          </cell>
        </row>
        <row r="77">
          <cell r="B77" t="str">
            <v>0004A06682</v>
          </cell>
        </row>
        <row r="78">
          <cell r="B78" t="str">
            <v>0004A06683</v>
          </cell>
        </row>
        <row r="79">
          <cell r="B79" t="str">
            <v>0004A06688</v>
          </cell>
        </row>
        <row r="80">
          <cell r="B80" t="str">
            <v>0004A06689</v>
          </cell>
        </row>
        <row r="81">
          <cell r="B81" t="str">
            <v>0004A06690</v>
          </cell>
        </row>
        <row r="82">
          <cell r="B82" t="str">
            <v>0004A06693</v>
          </cell>
        </row>
        <row r="83">
          <cell r="B83" t="str">
            <v>0004A06694</v>
          </cell>
        </row>
        <row r="84">
          <cell r="B84" t="str">
            <v>0004A06696</v>
          </cell>
        </row>
        <row r="85">
          <cell r="B85" t="str">
            <v>0004A06698</v>
          </cell>
        </row>
        <row r="86">
          <cell r="B86" t="str">
            <v>0004A06700</v>
          </cell>
        </row>
        <row r="87">
          <cell r="B87" t="str">
            <v>0004A06701</v>
          </cell>
        </row>
        <row r="88">
          <cell r="B88" t="str">
            <v>0004A06744</v>
          </cell>
        </row>
        <row r="89">
          <cell r="B89" t="str">
            <v>0004A06754</v>
          </cell>
        </row>
        <row r="90">
          <cell r="B90" t="str">
            <v>0004A06755</v>
          </cell>
        </row>
        <row r="91">
          <cell r="B91" t="str">
            <v>0004A06757</v>
          </cell>
        </row>
        <row r="92">
          <cell r="B92" t="str">
            <v>0004A06768</v>
          </cell>
        </row>
        <row r="93">
          <cell r="B93" t="str">
            <v>0004A06773</v>
          </cell>
        </row>
        <row r="94">
          <cell r="B94" t="str">
            <v>0004A06774</v>
          </cell>
        </row>
        <row r="95">
          <cell r="B95" t="str">
            <v>0004A06782</v>
          </cell>
        </row>
        <row r="96">
          <cell r="B96" t="str">
            <v>0004A06823</v>
          </cell>
        </row>
        <row r="97">
          <cell r="B97" t="str">
            <v>0004A06832</v>
          </cell>
        </row>
        <row r="98">
          <cell r="B98" t="str">
            <v>0004A06951</v>
          </cell>
        </row>
        <row r="99">
          <cell r="B99" t="str">
            <v>0004A06952</v>
          </cell>
        </row>
        <row r="100">
          <cell r="B100" t="str">
            <v>0004A06954</v>
          </cell>
        </row>
        <row r="101">
          <cell r="B101" t="str">
            <v>0004A06955</v>
          </cell>
        </row>
        <row r="102">
          <cell r="B102" t="str">
            <v>0004A06956</v>
          </cell>
        </row>
        <row r="103">
          <cell r="B103" t="str">
            <v>0004A06957</v>
          </cell>
        </row>
        <row r="104">
          <cell r="B104" t="str">
            <v>0004A06961</v>
          </cell>
        </row>
        <row r="105">
          <cell r="B105" t="str">
            <v>0004A06962</v>
          </cell>
        </row>
        <row r="106">
          <cell r="B106" t="str">
            <v>0004A06963</v>
          </cell>
        </row>
        <row r="107">
          <cell r="B107" t="str">
            <v>0004A06964</v>
          </cell>
        </row>
        <row r="108">
          <cell r="B108" t="str">
            <v>0004A06967</v>
          </cell>
        </row>
        <row r="109">
          <cell r="B109" t="str">
            <v>0004A06968</v>
          </cell>
        </row>
        <row r="110">
          <cell r="B110" t="str">
            <v>0004A06969</v>
          </cell>
        </row>
        <row r="111">
          <cell r="B111" t="str">
            <v>0004A06972</v>
          </cell>
        </row>
        <row r="112">
          <cell r="B112" t="str">
            <v>0004A06974</v>
          </cell>
        </row>
        <row r="113">
          <cell r="B113" t="str">
            <v>0004A06977</v>
          </cell>
        </row>
        <row r="114">
          <cell r="B114" t="str">
            <v>0004A06978</v>
          </cell>
        </row>
        <row r="115">
          <cell r="B115" t="str">
            <v>0004A06979</v>
          </cell>
        </row>
        <row r="116">
          <cell r="B116" t="str">
            <v>0004A06981</v>
          </cell>
        </row>
        <row r="117">
          <cell r="B117" t="str">
            <v>0004A06983</v>
          </cell>
        </row>
        <row r="118">
          <cell r="B118" t="str">
            <v>0004A06985</v>
          </cell>
        </row>
        <row r="119">
          <cell r="B119" t="str">
            <v>0004A06992</v>
          </cell>
        </row>
        <row r="120">
          <cell r="B120" t="str">
            <v>0004A06994</v>
          </cell>
        </row>
        <row r="121">
          <cell r="B121" t="str">
            <v>0004A06996</v>
          </cell>
        </row>
        <row r="122">
          <cell r="B122" t="str">
            <v>0004A06999</v>
          </cell>
        </row>
        <row r="123">
          <cell r="B123" t="str">
            <v>0004A07002</v>
          </cell>
        </row>
        <row r="124">
          <cell r="B124" t="str">
            <v>0004A07047</v>
          </cell>
        </row>
        <row r="125">
          <cell r="B125" t="str">
            <v>0004A07058</v>
          </cell>
        </row>
        <row r="126">
          <cell r="B126" t="str">
            <v>0004A07068</v>
          </cell>
        </row>
        <row r="127">
          <cell r="B127" t="str">
            <v>0004A07071</v>
          </cell>
        </row>
        <row r="128">
          <cell r="B128" t="str">
            <v>0004A07072</v>
          </cell>
        </row>
        <row r="129">
          <cell r="B129" t="str">
            <v>0004A07073</v>
          </cell>
        </row>
        <row r="130">
          <cell r="B130" t="str">
            <v>0004A07078</v>
          </cell>
        </row>
        <row r="131">
          <cell r="B131" t="str">
            <v>0004A07079</v>
          </cell>
        </row>
        <row r="132">
          <cell r="B132" t="str">
            <v>0004A07081</v>
          </cell>
        </row>
        <row r="133">
          <cell r="B133" t="str">
            <v>0004A07094</v>
          </cell>
        </row>
        <row r="134">
          <cell r="B134" t="str">
            <v>0004A07099</v>
          </cell>
        </row>
        <row r="135">
          <cell r="B135" t="str">
            <v>0004A07104</v>
          </cell>
        </row>
        <row r="136">
          <cell r="B136" t="str">
            <v>0004A07154</v>
          </cell>
        </row>
        <row r="137">
          <cell r="B137" t="str">
            <v>0006A00001</v>
          </cell>
        </row>
        <row r="138">
          <cell r="B138" t="str">
            <v>0006A00002</v>
          </cell>
        </row>
        <row r="139">
          <cell r="B139" t="str">
            <v>0006A00003</v>
          </cell>
        </row>
        <row r="140">
          <cell r="B140" t="str">
            <v>0006A00004</v>
          </cell>
        </row>
        <row r="141">
          <cell r="B141" t="str">
            <v>0006A00006</v>
          </cell>
        </row>
        <row r="142">
          <cell r="B142" t="str">
            <v>0006A00011</v>
          </cell>
        </row>
        <row r="143">
          <cell r="B143" t="str">
            <v>0006A00012</v>
          </cell>
        </row>
        <row r="144">
          <cell r="B144" t="str">
            <v>0006A00014</v>
          </cell>
        </row>
        <row r="145">
          <cell r="B145" t="str">
            <v>0006A00015</v>
          </cell>
        </row>
        <row r="146">
          <cell r="B146" t="str">
            <v>0006A00016</v>
          </cell>
        </row>
        <row r="147">
          <cell r="B147" t="str">
            <v>0006A00017</v>
          </cell>
        </row>
        <row r="148">
          <cell r="B148" t="str">
            <v>0006A00019</v>
          </cell>
        </row>
        <row r="149">
          <cell r="B149" t="str">
            <v>0006A00020</v>
          </cell>
        </row>
        <row r="150">
          <cell r="B150" t="str">
            <v>0006A00021</v>
          </cell>
        </row>
        <row r="151">
          <cell r="B151" t="str">
            <v>0006A00022</v>
          </cell>
        </row>
        <row r="152">
          <cell r="B152" t="str">
            <v>0006A00023</v>
          </cell>
        </row>
        <row r="153">
          <cell r="B153" t="str">
            <v>0006A00024</v>
          </cell>
        </row>
        <row r="154">
          <cell r="B154" t="str">
            <v>0006A00025</v>
          </cell>
        </row>
        <row r="155">
          <cell r="B155" t="str">
            <v>0006A00026</v>
          </cell>
        </row>
        <row r="156">
          <cell r="B156" t="str">
            <v>0006A00027</v>
          </cell>
        </row>
        <row r="157">
          <cell r="B157" t="str">
            <v>0006A00028</v>
          </cell>
        </row>
        <row r="158">
          <cell r="B158" t="str">
            <v>0006A00029</v>
          </cell>
        </row>
        <row r="159">
          <cell r="B159" t="str">
            <v>0006A00030</v>
          </cell>
        </row>
        <row r="160">
          <cell r="B160" t="str">
            <v>0006A00032</v>
          </cell>
        </row>
        <row r="161">
          <cell r="B161" t="str">
            <v>0006A00038</v>
          </cell>
        </row>
        <row r="162">
          <cell r="B162" t="str">
            <v>0006A00039</v>
          </cell>
        </row>
        <row r="163">
          <cell r="B163" t="str">
            <v>0006A00042</v>
          </cell>
        </row>
        <row r="164">
          <cell r="B164" t="str">
            <v>0006A00043</v>
          </cell>
        </row>
        <row r="165">
          <cell r="B165" t="str">
            <v>0006A00044</v>
          </cell>
        </row>
        <row r="166">
          <cell r="B166" t="str">
            <v>0006A00045</v>
          </cell>
        </row>
        <row r="167">
          <cell r="B167" t="str">
            <v>0006A00046</v>
          </cell>
        </row>
        <row r="168">
          <cell r="B168" t="str">
            <v>0006A00047</v>
          </cell>
        </row>
        <row r="169">
          <cell r="B169" t="str">
            <v>0006A00048</v>
          </cell>
        </row>
        <row r="170">
          <cell r="B170" t="str">
            <v>0006A00049</v>
          </cell>
        </row>
        <row r="171">
          <cell r="B171" t="str">
            <v>0006A00050</v>
          </cell>
        </row>
        <row r="172">
          <cell r="B172" t="str">
            <v>0006A00052</v>
          </cell>
        </row>
        <row r="173">
          <cell r="B173" t="str">
            <v>0006A00068</v>
          </cell>
        </row>
        <row r="174">
          <cell r="B174" t="str">
            <v>0006A00069</v>
          </cell>
        </row>
        <row r="175">
          <cell r="B175" t="str">
            <v>0006A00077</v>
          </cell>
        </row>
        <row r="176">
          <cell r="B176" t="str">
            <v>0006A00080</v>
          </cell>
        </row>
        <row r="177">
          <cell r="B177" t="str">
            <v>0006A00081</v>
          </cell>
        </row>
        <row r="178">
          <cell r="B178" t="str">
            <v>0006A00082</v>
          </cell>
        </row>
        <row r="179">
          <cell r="B179" t="str">
            <v>0006A00086</v>
          </cell>
        </row>
        <row r="180">
          <cell r="B180" t="str">
            <v>0006A00087</v>
          </cell>
        </row>
        <row r="181">
          <cell r="B181" t="str">
            <v>0006A00088</v>
          </cell>
        </row>
        <row r="182">
          <cell r="B182" t="str">
            <v>0006A00091</v>
          </cell>
        </row>
        <row r="183">
          <cell r="B183" t="str">
            <v>0006A00092</v>
          </cell>
        </row>
        <row r="184">
          <cell r="B184" t="str">
            <v>0006A00093</v>
          </cell>
        </row>
        <row r="185">
          <cell r="B185" t="str">
            <v>0006A00096</v>
          </cell>
        </row>
        <row r="186">
          <cell r="B186" t="str">
            <v>0006A00098</v>
          </cell>
        </row>
        <row r="187">
          <cell r="B187" t="str">
            <v>0006A00100</v>
          </cell>
        </row>
        <row r="188">
          <cell r="B188" t="str">
            <v>0006A00102</v>
          </cell>
        </row>
        <row r="189">
          <cell r="B189" t="str">
            <v>0006A00103</v>
          </cell>
        </row>
        <row r="190">
          <cell r="B190" t="str">
            <v>0006A00104</v>
          </cell>
        </row>
        <row r="191">
          <cell r="B191" t="str">
            <v>0006A00105</v>
          </cell>
        </row>
        <row r="192">
          <cell r="B192" t="str">
            <v>0006A00106</v>
          </cell>
        </row>
        <row r="193">
          <cell r="B193" t="str">
            <v>0006A00107</v>
          </cell>
        </row>
        <row r="194">
          <cell r="B194" t="str">
            <v>0006A00108</v>
          </cell>
        </row>
        <row r="195">
          <cell r="B195" t="str">
            <v>0006A00109</v>
          </cell>
        </row>
        <row r="196">
          <cell r="B196" t="str">
            <v>0006A00112</v>
          </cell>
        </row>
        <row r="197">
          <cell r="B197" t="str">
            <v>0006A00114</v>
          </cell>
        </row>
        <row r="198">
          <cell r="B198" t="str">
            <v>0006A00116</v>
          </cell>
        </row>
        <row r="199">
          <cell r="B199" t="str">
            <v>0006A00117</v>
          </cell>
        </row>
        <row r="200">
          <cell r="B200" t="str">
            <v>0006A00119</v>
          </cell>
        </row>
        <row r="201">
          <cell r="B201" t="str">
            <v>0006A00121</v>
          </cell>
        </row>
        <row r="202">
          <cell r="B202" t="str">
            <v>0006A00123</v>
          </cell>
        </row>
        <row r="203">
          <cell r="B203" t="str">
            <v>0006A00124</v>
          </cell>
        </row>
        <row r="204">
          <cell r="B204" t="str">
            <v>0006A00125</v>
          </cell>
        </row>
        <row r="205">
          <cell r="B205" t="str">
            <v>0006A00126</v>
          </cell>
        </row>
        <row r="206">
          <cell r="B206" t="str">
            <v>0006A00127</v>
          </cell>
        </row>
        <row r="207">
          <cell r="B207" t="str">
            <v>0006A00129</v>
          </cell>
        </row>
        <row r="208">
          <cell r="B208" t="str">
            <v>0006A00131</v>
          </cell>
        </row>
        <row r="209">
          <cell r="B209" t="str">
            <v>0006A00132</v>
          </cell>
        </row>
        <row r="210">
          <cell r="B210" t="str">
            <v>0006A00134</v>
          </cell>
        </row>
        <row r="211">
          <cell r="B211" t="str">
            <v>0006A00135</v>
          </cell>
        </row>
        <row r="212">
          <cell r="B212" t="str">
            <v>0006A00136</v>
          </cell>
        </row>
        <row r="213">
          <cell r="B213" t="str">
            <v>0006A00139</v>
          </cell>
        </row>
        <row r="214">
          <cell r="B214" t="str">
            <v>0006A00141</v>
          </cell>
        </row>
        <row r="215">
          <cell r="B215" t="str">
            <v>0006A00142</v>
          </cell>
        </row>
        <row r="216">
          <cell r="B216" t="str">
            <v>0006A00143</v>
          </cell>
        </row>
        <row r="217">
          <cell r="B217" t="str">
            <v>0006A00146</v>
          </cell>
        </row>
        <row r="218">
          <cell r="B218" t="str">
            <v>0006A00147</v>
          </cell>
        </row>
        <row r="219">
          <cell r="B219" t="str">
            <v>0006A00148</v>
          </cell>
        </row>
        <row r="220">
          <cell r="B220" t="str">
            <v>0006A00149</v>
          </cell>
        </row>
        <row r="221">
          <cell r="B221" t="str">
            <v>0006A00150</v>
          </cell>
        </row>
        <row r="222">
          <cell r="B222" t="str">
            <v>0006A00151</v>
          </cell>
        </row>
        <row r="223">
          <cell r="B223" t="str">
            <v>0006A00152</v>
          </cell>
        </row>
        <row r="224">
          <cell r="B224" t="str">
            <v>0006A00153</v>
          </cell>
        </row>
        <row r="225">
          <cell r="B225" t="str">
            <v>0006A00154</v>
          </cell>
        </row>
        <row r="226">
          <cell r="B226" t="str">
            <v>0006A00155</v>
          </cell>
        </row>
        <row r="227">
          <cell r="B227" t="str">
            <v>0006A00159</v>
          </cell>
        </row>
        <row r="228">
          <cell r="B228" t="str">
            <v>0006A00160</v>
          </cell>
        </row>
        <row r="229">
          <cell r="B229" t="str">
            <v>0006A00161</v>
          </cell>
        </row>
        <row r="230">
          <cell r="B230" t="str">
            <v>0006A00162</v>
          </cell>
        </row>
        <row r="231">
          <cell r="B231" t="str">
            <v>0006A00163</v>
          </cell>
        </row>
        <row r="232">
          <cell r="B232" t="str">
            <v>0006A00164</v>
          </cell>
        </row>
        <row r="233">
          <cell r="B233" t="str">
            <v>0006A00165</v>
          </cell>
        </row>
        <row r="234">
          <cell r="B234" t="str">
            <v>0006A00169</v>
          </cell>
        </row>
        <row r="235">
          <cell r="B235" t="str">
            <v>0006A00170</v>
          </cell>
        </row>
        <row r="236">
          <cell r="B236" t="str">
            <v>0006A00171</v>
          </cell>
        </row>
        <row r="237">
          <cell r="B237" t="str">
            <v>0006A00172</v>
          </cell>
        </row>
        <row r="238">
          <cell r="B238" t="str">
            <v>0006A00173</v>
          </cell>
        </row>
        <row r="239">
          <cell r="B239" t="str">
            <v>0006A00174</v>
          </cell>
        </row>
        <row r="240">
          <cell r="B240" t="str">
            <v>0006A00175</v>
          </cell>
        </row>
        <row r="241">
          <cell r="B241" t="str">
            <v>0006A00178</v>
          </cell>
        </row>
        <row r="242">
          <cell r="B242" t="str">
            <v>0006A00179</v>
          </cell>
        </row>
        <row r="243">
          <cell r="B243" t="str">
            <v>0006A00181</v>
          </cell>
        </row>
        <row r="244">
          <cell r="B244" t="str">
            <v>0006A00182</v>
          </cell>
        </row>
        <row r="245">
          <cell r="B245" t="str">
            <v>0006A00183</v>
          </cell>
        </row>
        <row r="246">
          <cell r="B246" t="str">
            <v>0006A00184</v>
          </cell>
        </row>
        <row r="247">
          <cell r="B247" t="str">
            <v>0006A00188</v>
          </cell>
        </row>
        <row r="248">
          <cell r="B248" t="str">
            <v>0006A00195</v>
          </cell>
        </row>
        <row r="249">
          <cell r="B249" t="str">
            <v>0006A00196</v>
          </cell>
        </row>
        <row r="250">
          <cell r="B250" t="str">
            <v>0006A00197</v>
          </cell>
        </row>
        <row r="251">
          <cell r="B251" t="str">
            <v>0006A00198</v>
          </cell>
        </row>
        <row r="252">
          <cell r="B252" t="str">
            <v>0006A00199</v>
          </cell>
        </row>
        <row r="253">
          <cell r="B253" t="str">
            <v>0006A00200</v>
          </cell>
        </row>
        <row r="254">
          <cell r="B254" t="str">
            <v>0006A00201</v>
          </cell>
        </row>
        <row r="255">
          <cell r="B255" t="str">
            <v>0006A00202</v>
          </cell>
        </row>
        <row r="256">
          <cell r="B256" t="str">
            <v>0006A00203</v>
          </cell>
        </row>
        <row r="257">
          <cell r="B257" t="str">
            <v>0006A00206</v>
          </cell>
        </row>
        <row r="258">
          <cell r="B258" t="str">
            <v>0006A00208</v>
          </cell>
        </row>
        <row r="259">
          <cell r="B259" t="str">
            <v>0006A00209</v>
          </cell>
        </row>
        <row r="260">
          <cell r="B260" t="str">
            <v>0006A00210</v>
          </cell>
        </row>
        <row r="261">
          <cell r="B261" t="str">
            <v>0006A00211</v>
          </cell>
        </row>
        <row r="262">
          <cell r="B262" t="str">
            <v>0006A00212</v>
          </cell>
        </row>
        <row r="263">
          <cell r="B263" t="str">
            <v>0006A00213</v>
          </cell>
        </row>
        <row r="264">
          <cell r="B264" t="str">
            <v>0006A00214</v>
          </cell>
        </row>
        <row r="265">
          <cell r="B265" t="str">
            <v>0006A00215</v>
          </cell>
        </row>
        <row r="266">
          <cell r="B266" t="str">
            <v>0006A00216</v>
          </cell>
        </row>
        <row r="267">
          <cell r="B267" t="str">
            <v>0006A00217</v>
          </cell>
        </row>
        <row r="268">
          <cell r="B268" t="str">
            <v>0006A00218</v>
          </cell>
        </row>
        <row r="269">
          <cell r="B269" t="str">
            <v>0006A00219</v>
          </cell>
        </row>
        <row r="270">
          <cell r="B270" t="str">
            <v>0006A00220</v>
          </cell>
        </row>
        <row r="271">
          <cell r="B271" t="str">
            <v>0006A00221</v>
          </cell>
        </row>
        <row r="272">
          <cell r="B272" t="str">
            <v>0006A00222</v>
          </cell>
        </row>
        <row r="273">
          <cell r="B273" t="str">
            <v>0006A00223</v>
          </cell>
        </row>
        <row r="274">
          <cell r="B274" t="str">
            <v>0006A00224</v>
          </cell>
        </row>
        <row r="275">
          <cell r="B275" t="str">
            <v>0006A00225</v>
          </cell>
        </row>
        <row r="276">
          <cell r="B276" t="str">
            <v>0006A00226</v>
          </cell>
        </row>
        <row r="277">
          <cell r="B277" t="str">
            <v>0006A00227</v>
          </cell>
        </row>
        <row r="278">
          <cell r="B278" t="str">
            <v>0006A00228</v>
          </cell>
        </row>
        <row r="279">
          <cell r="B279" t="str">
            <v>0006A00229</v>
          </cell>
        </row>
        <row r="280">
          <cell r="B280" t="str">
            <v>0006A00230</v>
          </cell>
        </row>
        <row r="281">
          <cell r="B281" t="str">
            <v>0006A00231</v>
          </cell>
        </row>
        <row r="282">
          <cell r="B282" t="str">
            <v>0006A00232</v>
          </cell>
        </row>
        <row r="283">
          <cell r="B283" t="str">
            <v>0006A00233</v>
          </cell>
        </row>
        <row r="284">
          <cell r="B284" t="str">
            <v>0006A00234</v>
          </cell>
        </row>
        <row r="285">
          <cell r="B285" t="str">
            <v>0006A00235</v>
          </cell>
        </row>
        <row r="286">
          <cell r="B286" t="str">
            <v>0006A00236</v>
          </cell>
        </row>
        <row r="287">
          <cell r="B287" t="str">
            <v>0006A00237</v>
          </cell>
        </row>
        <row r="288">
          <cell r="B288" t="str">
            <v>0006A00238</v>
          </cell>
        </row>
        <row r="289">
          <cell r="B289" t="str">
            <v>0006A00240</v>
          </cell>
        </row>
        <row r="290">
          <cell r="B290" t="str">
            <v>0006A00241</v>
          </cell>
        </row>
        <row r="291">
          <cell r="B291" t="str">
            <v>0006A00242</v>
          </cell>
        </row>
        <row r="292">
          <cell r="B292" t="str">
            <v>0006A00243</v>
          </cell>
        </row>
        <row r="293">
          <cell r="B293" t="str">
            <v>0006A00244</v>
          </cell>
        </row>
        <row r="294">
          <cell r="B294" t="str">
            <v>0006A00245</v>
          </cell>
        </row>
        <row r="295">
          <cell r="B295" t="str">
            <v>0006A00247</v>
          </cell>
        </row>
        <row r="296">
          <cell r="B296" t="str">
            <v>0006A00248</v>
          </cell>
        </row>
        <row r="297">
          <cell r="B297" t="str">
            <v>0006A00249</v>
          </cell>
        </row>
        <row r="298">
          <cell r="B298" t="str">
            <v>0006A00250</v>
          </cell>
        </row>
        <row r="299">
          <cell r="B299" t="str">
            <v>0006A00251</v>
          </cell>
        </row>
        <row r="300">
          <cell r="B300" t="str">
            <v>0006A00252</v>
          </cell>
        </row>
        <row r="301">
          <cell r="B301" t="str">
            <v>0006A00253</v>
          </cell>
        </row>
        <row r="302">
          <cell r="B302" t="str">
            <v>0006A00254</v>
          </cell>
        </row>
        <row r="303">
          <cell r="B303" t="str">
            <v>0006A00255</v>
          </cell>
        </row>
        <row r="304">
          <cell r="B304" t="str">
            <v>0006A00257</v>
          </cell>
        </row>
        <row r="305">
          <cell r="B305" t="str">
            <v>0006A00258</v>
          </cell>
        </row>
        <row r="306">
          <cell r="B306" t="str">
            <v>0006A00263</v>
          </cell>
        </row>
        <row r="307">
          <cell r="B307" t="str">
            <v>0006A00265</v>
          </cell>
        </row>
        <row r="308">
          <cell r="B308" t="str">
            <v>0006A00266</v>
          </cell>
        </row>
        <row r="309">
          <cell r="B309" t="str">
            <v>0006A00267</v>
          </cell>
        </row>
        <row r="310">
          <cell r="B310" t="str">
            <v>0006A00268</v>
          </cell>
        </row>
        <row r="311">
          <cell r="B311" t="str">
            <v>0006A00269</v>
          </cell>
        </row>
        <row r="312">
          <cell r="B312" t="str">
            <v>0006A00271</v>
          </cell>
        </row>
        <row r="313">
          <cell r="B313" t="str">
            <v>0006A00272</v>
          </cell>
        </row>
        <row r="314">
          <cell r="B314" t="str">
            <v>0006A00276</v>
          </cell>
        </row>
        <row r="315">
          <cell r="B315" t="str">
            <v>0006A00278</v>
          </cell>
        </row>
        <row r="316">
          <cell r="B316" t="str">
            <v>0006A00279</v>
          </cell>
        </row>
        <row r="317">
          <cell r="B317" t="str">
            <v>0006A00281</v>
          </cell>
        </row>
        <row r="318">
          <cell r="B318" t="str">
            <v>0006A00282</v>
          </cell>
        </row>
        <row r="319">
          <cell r="B319" t="str">
            <v>0006A00283</v>
          </cell>
        </row>
        <row r="320">
          <cell r="B320" t="str">
            <v>0006A00284</v>
          </cell>
        </row>
        <row r="321">
          <cell r="B321" t="str">
            <v>0006A00287</v>
          </cell>
        </row>
        <row r="322">
          <cell r="B322" t="str">
            <v>0006A00288</v>
          </cell>
        </row>
        <row r="323">
          <cell r="B323" t="str">
            <v>0006A00289</v>
          </cell>
        </row>
        <row r="324">
          <cell r="B324" t="str">
            <v>0006A00290</v>
          </cell>
        </row>
        <row r="325">
          <cell r="B325" t="str">
            <v>0006A00291</v>
          </cell>
        </row>
        <row r="326">
          <cell r="B326" t="str">
            <v>0006A00292</v>
          </cell>
        </row>
        <row r="327">
          <cell r="B327" t="str">
            <v>0006A00293</v>
          </cell>
        </row>
        <row r="328">
          <cell r="B328" t="str">
            <v>0006A00295</v>
          </cell>
        </row>
        <row r="329">
          <cell r="B329" t="str">
            <v>0006A00297</v>
          </cell>
        </row>
        <row r="330">
          <cell r="B330" t="str">
            <v>0006A00298</v>
          </cell>
        </row>
        <row r="331">
          <cell r="B331" t="str">
            <v>0006A00299</v>
          </cell>
        </row>
        <row r="332">
          <cell r="B332" t="str">
            <v>0006A00300</v>
          </cell>
        </row>
        <row r="333">
          <cell r="B333" t="str">
            <v>0006A00301</v>
          </cell>
        </row>
        <row r="334">
          <cell r="B334" t="str">
            <v>0006A00302</v>
          </cell>
        </row>
        <row r="335">
          <cell r="B335" t="str">
            <v>0006A00304</v>
          </cell>
        </row>
        <row r="336">
          <cell r="B336" t="str">
            <v>0006A00305</v>
          </cell>
        </row>
        <row r="337">
          <cell r="B337" t="str">
            <v>0006A00306</v>
          </cell>
        </row>
        <row r="338">
          <cell r="B338" t="str">
            <v>0006A00308</v>
          </cell>
        </row>
        <row r="339">
          <cell r="B339" t="str">
            <v>0006A00309</v>
          </cell>
        </row>
        <row r="340">
          <cell r="B340" t="str">
            <v>0006A00310</v>
          </cell>
        </row>
        <row r="341">
          <cell r="B341" t="str">
            <v>0006A00311</v>
          </cell>
        </row>
        <row r="342">
          <cell r="B342" t="str">
            <v>0006A00312</v>
          </cell>
        </row>
        <row r="343">
          <cell r="B343" t="str">
            <v>0006A00313</v>
          </cell>
        </row>
        <row r="344">
          <cell r="B344" t="str">
            <v>0006A00316</v>
          </cell>
        </row>
        <row r="345">
          <cell r="B345" t="str">
            <v>0006A00317</v>
          </cell>
        </row>
        <row r="346">
          <cell r="B346" t="str">
            <v>0006A00318</v>
          </cell>
        </row>
        <row r="347">
          <cell r="B347" t="str">
            <v>0006A00320</v>
          </cell>
        </row>
        <row r="348">
          <cell r="B348" t="str">
            <v>0006A00321</v>
          </cell>
        </row>
        <row r="349">
          <cell r="B349" t="str">
            <v>0006A00322</v>
          </cell>
        </row>
        <row r="350">
          <cell r="B350" t="str">
            <v>0006A00323</v>
          </cell>
        </row>
        <row r="351">
          <cell r="B351" t="str">
            <v>0006A00325</v>
          </cell>
        </row>
        <row r="352">
          <cell r="B352" t="str">
            <v>0006A00326</v>
          </cell>
        </row>
        <row r="353">
          <cell r="B353" t="str">
            <v>0006A00327</v>
          </cell>
        </row>
        <row r="354">
          <cell r="B354" t="str">
            <v>0006A00328</v>
          </cell>
        </row>
        <row r="355">
          <cell r="B355" t="str">
            <v>0006A00330</v>
          </cell>
        </row>
        <row r="356">
          <cell r="B356" t="str">
            <v>0006A00331</v>
          </cell>
        </row>
        <row r="357">
          <cell r="B357" t="str">
            <v>0006A00332</v>
          </cell>
        </row>
        <row r="358">
          <cell r="B358" t="str">
            <v>0006A00333</v>
          </cell>
        </row>
        <row r="359">
          <cell r="B359" t="str">
            <v>0006A00335</v>
          </cell>
        </row>
        <row r="360">
          <cell r="B360" t="str">
            <v>0006A00336</v>
          </cell>
        </row>
        <row r="361">
          <cell r="B361" t="str">
            <v>0006A00337</v>
          </cell>
        </row>
        <row r="362">
          <cell r="B362" t="str">
            <v>0006A00338</v>
          </cell>
        </row>
        <row r="363">
          <cell r="B363" t="str">
            <v>0006A00339</v>
          </cell>
        </row>
        <row r="364">
          <cell r="B364" t="str">
            <v>0006A00340</v>
          </cell>
        </row>
        <row r="365">
          <cell r="B365" t="str">
            <v>0006A00341</v>
          </cell>
        </row>
        <row r="366">
          <cell r="B366" t="str">
            <v>0006A00342</v>
          </cell>
        </row>
        <row r="367">
          <cell r="B367" t="str">
            <v>0006A00344</v>
          </cell>
        </row>
        <row r="368">
          <cell r="B368" t="str">
            <v>0006A00347</v>
          </cell>
        </row>
        <row r="369">
          <cell r="B369" t="str">
            <v>0006A00348</v>
          </cell>
        </row>
        <row r="370">
          <cell r="B370" t="str">
            <v>0006A00349</v>
          </cell>
        </row>
        <row r="371">
          <cell r="B371" t="str">
            <v>0006A00352</v>
          </cell>
        </row>
        <row r="372">
          <cell r="B372" t="str">
            <v>0006A00353</v>
          </cell>
        </row>
        <row r="373">
          <cell r="B373" t="str">
            <v>0006A00354</v>
          </cell>
        </row>
        <row r="374">
          <cell r="B374" t="str">
            <v>0006A00355</v>
          </cell>
        </row>
        <row r="375">
          <cell r="B375" t="str">
            <v>0006A00357</v>
          </cell>
        </row>
        <row r="376">
          <cell r="B376" t="str">
            <v>0006A00358</v>
          </cell>
        </row>
        <row r="377">
          <cell r="B377" t="str">
            <v>0006A00359</v>
          </cell>
        </row>
        <row r="378">
          <cell r="B378" t="str">
            <v>0006A00361</v>
          </cell>
        </row>
        <row r="379">
          <cell r="B379" t="str">
            <v>0006A00362</v>
          </cell>
        </row>
        <row r="380">
          <cell r="B380" t="str">
            <v>0006A00363</v>
          </cell>
        </row>
        <row r="381">
          <cell r="B381" t="str">
            <v>0006A00364</v>
          </cell>
        </row>
        <row r="382">
          <cell r="B382" t="str">
            <v>0006A00366</v>
          </cell>
        </row>
        <row r="383">
          <cell r="B383" t="str">
            <v>0006A00368</v>
          </cell>
        </row>
        <row r="384">
          <cell r="B384" t="str">
            <v>0006A00370</v>
          </cell>
        </row>
        <row r="385">
          <cell r="B385" t="str">
            <v>0006A00372</v>
          </cell>
        </row>
        <row r="386">
          <cell r="B386" t="str">
            <v>0006A00373</v>
          </cell>
        </row>
        <row r="387">
          <cell r="B387" t="str">
            <v>0006A00374</v>
          </cell>
        </row>
        <row r="388">
          <cell r="B388" t="str">
            <v>0006A00375</v>
          </cell>
        </row>
        <row r="389">
          <cell r="B389" t="str">
            <v>0006A00376</v>
          </cell>
        </row>
        <row r="390">
          <cell r="B390" t="str">
            <v>0006A00377</v>
          </cell>
        </row>
        <row r="391">
          <cell r="B391" t="str">
            <v>0006A00378</v>
          </cell>
        </row>
        <row r="392">
          <cell r="B392" t="str">
            <v>0006A00380</v>
          </cell>
        </row>
        <row r="393">
          <cell r="B393" t="str">
            <v>0006A00382</v>
          </cell>
        </row>
        <row r="394">
          <cell r="B394" t="str">
            <v>0006A00383</v>
          </cell>
        </row>
        <row r="395">
          <cell r="B395" t="str">
            <v>0006A00384</v>
          </cell>
        </row>
        <row r="396">
          <cell r="B396" t="str">
            <v>0006A00385</v>
          </cell>
        </row>
        <row r="397">
          <cell r="B397" t="str">
            <v>0006A00387</v>
          </cell>
        </row>
        <row r="398">
          <cell r="B398" t="str">
            <v>0006A00388</v>
          </cell>
        </row>
        <row r="399">
          <cell r="B399" t="str">
            <v>0006A00390</v>
          </cell>
        </row>
        <row r="400">
          <cell r="B400" t="str">
            <v>0006A00391</v>
          </cell>
        </row>
        <row r="401">
          <cell r="B401" t="str">
            <v>0006A00392</v>
          </cell>
        </row>
        <row r="402">
          <cell r="B402" t="str">
            <v>0006A00393</v>
          </cell>
        </row>
        <row r="403">
          <cell r="B403" t="str">
            <v>0006A00394</v>
          </cell>
        </row>
        <row r="404">
          <cell r="B404" t="str">
            <v>0006A00395</v>
          </cell>
        </row>
        <row r="405">
          <cell r="B405" t="str">
            <v>0006A00396</v>
          </cell>
        </row>
        <row r="406">
          <cell r="B406" t="str">
            <v>0006A00398</v>
          </cell>
        </row>
        <row r="407">
          <cell r="B407" t="str">
            <v>0006A00399</v>
          </cell>
        </row>
        <row r="408">
          <cell r="B408" t="str">
            <v>0006A00401</v>
          </cell>
        </row>
        <row r="409">
          <cell r="B409" t="str">
            <v>0006A00403</v>
          </cell>
        </row>
        <row r="410">
          <cell r="B410" t="str">
            <v>0006A00404</v>
          </cell>
        </row>
        <row r="411">
          <cell r="B411" t="str">
            <v>0006A00406</v>
          </cell>
        </row>
        <row r="412">
          <cell r="B412" t="str">
            <v>0006A00407</v>
          </cell>
        </row>
        <row r="413">
          <cell r="B413" t="str">
            <v>0006A00411</v>
          </cell>
        </row>
        <row r="414">
          <cell r="B414" t="str">
            <v>0006A00413</v>
          </cell>
        </row>
        <row r="415">
          <cell r="B415" t="str">
            <v>0006A00414</v>
          </cell>
        </row>
        <row r="416">
          <cell r="B416" t="str">
            <v>0006A00418</v>
          </cell>
        </row>
        <row r="417">
          <cell r="B417" t="str">
            <v>0006A00419</v>
          </cell>
        </row>
        <row r="418">
          <cell r="B418" t="str">
            <v>0006A00420</v>
          </cell>
        </row>
        <row r="419">
          <cell r="B419" t="str">
            <v>0006A00421</v>
          </cell>
        </row>
        <row r="420">
          <cell r="B420" t="str">
            <v>0006A00422</v>
          </cell>
        </row>
        <row r="421">
          <cell r="B421" t="str">
            <v>0006A00423</v>
          </cell>
        </row>
        <row r="422">
          <cell r="B422" t="str">
            <v>0006A00424</v>
          </cell>
        </row>
        <row r="423">
          <cell r="B423" t="str">
            <v>0006A00426</v>
          </cell>
        </row>
        <row r="424">
          <cell r="B424" t="str">
            <v>0006A00428</v>
          </cell>
        </row>
        <row r="425">
          <cell r="B425" t="str">
            <v>0006A00431</v>
          </cell>
        </row>
        <row r="426">
          <cell r="B426" t="str">
            <v>0006A00433</v>
          </cell>
        </row>
        <row r="427">
          <cell r="B427" t="str">
            <v>0006A00437</v>
          </cell>
        </row>
        <row r="428">
          <cell r="B428" t="str">
            <v>0006A00439</v>
          </cell>
        </row>
        <row r="429">
          <cell r="B429" t="str">
            <v>0006A00440</v>
          </cell>
        </row>
        <row r="430">
          <cell r="B430" t="str">
            <v>0006A00442</v>
          </cell>
        </row>
        <row r="431">
          <cell r="B431" t="str">
            <v>0006A00443</v>
          </cell>
        </row>
        <row r="432">
          <cell r="B432" t="str">
            <v>0006A00445</v>
          </cell>
        </row>
        <row r="433">
          <cell r="B433" t="str">
            <v>0006A00446</v>
          </cell>
        </row>
        <row r="434">
          <cell r="B434" t="str">
            <v>0006A00454</v>
          </cell>
        </row>
        <row r="435">
          <cell r="B435" t="str">
            <v>0006A00455</v>
          </cell>
        </row>
        <row r="436">
          <cell r="B436" t="str">
            <v>0006A00456</v>
          </cell>
        </row>
        <row r="437">
          <cell r="B437" t="str">
            <v>0006A00457</v>
          </cell>
        </row>
        <row r="438">
          <cell r="B438" t="str">
            <v>0006A00460</v>
          </cell>
        </row>
        <row r="439">
          <cell r="B439" t="str">
            <v>0006A00465</v>
          </cell>
        </row>
        <row r="440">
          <cell r="B440" t="str">
            <v>0006A00466</v>
          </cell>
        </row>
        <row r="441">
          <cell r="B441" t="str">
            <v>0006A00467</v>
          </cell>
        </row>
        <row r="442">
          <cell r="B442" t="str">
            <v>0006A00468</v>
          </cell>
        </row>
        <row r="443">
          <cell r="B443" t="str">
            <v>0006A00470</v>
          </cell>
        </row>
        <row r="444">
          <cell r="B444" t="str">
            <v>0006A00475</v>
          </cell>
        </row>
        <row r="445">
          <cell r="B445" t="str">
            <v>0006A00476</v>
          </cell>
        </row>
        <row r="446">
          <cell r="B446" t="str">
            <v>0006A00478</v>
          </cell>
        </row>
        <row r="447">
          <cell r="B447" t="str">
            <v>0006A00479</v>
          </cell>
        </row>
        <row r="448">
          <cell r="B448" t="str">
            <v>0006A00482</v>
          </cell>
        </row>
        <row r="449">
          <cell r="B449" t="str">
            <v>0006A00483</v>
          </cell>
        </row>
        <row r="450">
          <cell r="B450" t="str">
            <v>0006A00484</v>
          </cell>
        </row>
        <row r="451">
          <cell r="B451" t="str">
            <v>0006A00489</v>
          </cell>
        </row>
        <row r="452">
          <cell r="B452" t="str">
            <v>0006A00493</v>
          </cell>
        </row>
        <row r="453">
          <cell r="B453" t="str">
            <v>0006A00497</v>
          </cell>
        </row>
        <row r="454">
          <cell r="B454" t="str">
            <v>0006A00499</v>
          </cell>
        </row>
        <row r="455">
          <cell r="B455" t="str">
            <v>0006A00502</v>
          </cell>
        </row>
        <row r="456">
          <cell r="B456" t="str">
            <v>0006A00503</v>
          </cell>
        </row>
        <row r="457">
          <cell r="B457" t="str">
            <v>0006A00505</v>
          </cell>
        </row>
        <row r="458">
          <cell r="B458" t="str">
            <v>0006A00506</v>
          </cell>
        </row>
        <row r="459">
          <cell r="B459" t="str">
            <v>0006A00507</v>
          </cell>
        </row>
        <row r="460">
          <cell r="B460" t="str">
            <v>0006A00508</v>
          </cell>
        </row>
        <row r="461">
          <cell r="B461" t="str">
            <v>0006A00510</v>
          </cell>
        </row>
        <row r="462">
          <cell r="B462" t="str">
            <v>0006A00512</v>
          </cell>
        </row>
        <row r="463">
          <cell r="B463" t="str">
            <v>0006A00517</v>
          </cell>
        </row>
        <row r="464">
          <cell r="B464" t="str">
            <v>0006A00518</v>
          </cell>
        </row>
        <row r="465">
          <cell r="B465" t="str">
            <v>0006A00519</v>
          </cell>
        </row>
        <row r="466">
          <cell r="B466" t="str">
            <v>0006A00522</v>
          </cell>
        </row>
        <row r="467">
          <cell r="B467" t="str">
            <v>0006A00525</v>
          </cell>
        </row>
        <row r="468">
          <cell r="B468" t="str">
            <v>0006A00527</v>
          </cell>
        </row>
        <row r="469">
          <cell r="B469" t="str">
            <v>0006A00535</v>
          </cell>
        </row>
        <row r="470">
          <cell r="B470" t="str">
            <v>0006A00536</v>
          </cell>
        </row>
        <row r="471">
          <cell r="B471" t="str">
            <v>0006A00537</v>
          </cell>
        </row>
        <row r="472">
          <cell r="B472" t="str">
            <v>0006A00539</v>
          </cell>
        </row>
        <row r="473">
          <cell r="B473" t="str">
            <v>0006A00540</v>
          </cell>
        </row>
        <row r="474">
          <cell r="B474" t="str">
            <v>0006A00541</v>
          </cell>
        </row>
        <row r="475">
          <cell r="B475" t="str">
            <v>0006A00542</v>
          </cell>
        </row>
        <row r="476">
          <cell r="B476" t="str">
            <v>0006A00546</v>
          </cell>
        </row>
        <row r="477">
          <cell r="B477" t="str">
            <v>0006A00547</v>
          </cell>
        </row>
        <row r="478">
          <cell r="B478" t="str">
            <v>0006A00548</v>
          </cell>
        </row>
        <row r="479">
          <cell r="B479" t="str">
            <v>0006A00550</v>
          </cell>
        </row>
        <row r="480">
          <cell r="B480" t="str">
            <v>0006A00551</v>
          </cell>
        </row>
        <row r="481">
          <cell r="B481" t="str">
            <v>0006A00553</v>
          </cell>
        </row>
        <row r="482">
          <cell r="B482" t="str">
            <v>0006A00554</v>
          </cell>
        </row>
        <row r="483">
          <cell r="B483" t="str">
            <v>0006A00558</v>
          </cell>
        </row>
        <row r="484">
          <cell r="B484" t="str">
            <v>0006A00559</v>
          </cell>
        </row>
        <row r="485">
          <cell r="B485" t="str">
            <v>0006A00563</v>
          </cell>
        </row>
        <row r="486">
          <cell r="B486" t="str">
            <v>0006A00564</v>
          </cell>
        </row>
        <row r="487">
          <cell r="B487" t="str">
            <v>0006A00565</v>
          </cell>
        </row>
        <row r="488">
          <cell r="B488" t="str">
            <v>0006A00566</v>
          </cell>
        </row>
        <row r="489">
          <cell r="B489" t="str">
            <v>0006A00567</v>
          </cell>
        </row>
        <row r="490">
          <cell r="B490" t="str">
            <v>0006A00568</v>
          </cell>
        </row>
        <row r="491">
          <cell r="B491" t="str">
            <v>0006A00569</v>
          </cell>
        </row>
        <row r="492">
          <cell r="B492" t="str">
            <v>0006A00570</v>
          </cell>
        </row>
        <row r="493">
          <cell r="B493" t="str">
            <v>0006A00571</v>
          </cell>
        </row>
        <row r="494">
          <cell r="B494" t="str">
            <v>0006A00573</v>
          </cell>
        </row>
        <row r="495">
          <cell r="B495" t="str">
            <v>0006A00575</v>
          </cell>
        </row>
        <row r="496">
          <cell r="B496" t="str">
            <v>0006A00578</v>
          </cell>
        </row>
        <row r="497">
          <cell r="B497" t="str">
            <v>0006A00580</v>
          </cell>
        </row>
        <row r="498">
          <cell r="B498" t="str">
            <v>0006A00582</v>
          </cell>
        </row>
        <row r="499">
          <cell r="B499" t="str">
            <v>0006A00585</v>
          </cell>
        </row>
        <row r="500">
          <cell r="B500" t="str">
            <v>0006A00586</v>
          </cell>
        </row>
        <row r="501">
          <cell r="B501" t="str">
            <v>0006A00587</v>
          </cell>
        </row>
        <row r="502">
          <cell r="B502" t="str">
            <v>0006A00588</v>
          </cell>
        </row>
        <row r="503">
          <cell r="B503" t="str">
            <v>0006A00591</v>
          </cell>
        </row>
        <row r="504">
          <cell r="B504" t="str">
            <v>0006A00597</v>
          </cell>
        </row>
        <row r="505">
          <cell r="B505" t="str">
            <v>0006A00608</v>
          </cell>
        </row>
        <row r="506">
          <cell r="B506" t="str">
            <v>0006A00623</v>
          </cell>
        </row>
        <row r="507">
          <cell r="B507" t="str">
            <v>0006A00625</v>
          </cell>
        </row>
        <row r="508">
          <cell r="B508" t="str">
            <v>0006A00630</v>
          </cell>
        </row>
        <row r="509">
          <cell r="B509" t="str">
            <v>0006A00632</v>
          </cell>
        </row>
        <row r="510">
          <cell r="B510" t="str">
            <v>0006A00633</v>
          </cell>
        </row>
        <row r="511">
          <cell r="B511" t="str">
            <v>0006A00634</v>
          </cell>
        </row>
        <row r="512">
          <cell r="B512" t="str">
            <v>0006A00635</v>
          </cell>
        </row>
        <row r="513">
          <cell r="B513" t="str">
            <v>0006A00636</v>
          </cell>
        </row>
        <row r="514">
          <cell r="B514" t="str">
            <v>0006A00646</v>
          </cell>
        </row>
        <row r="515">
          <cell r="B515" t="str">
            <v>0006A00648</v>
          </cell>
        </row>
        <row r="516">
          <cell r="B516" t="str">
            <v>0006A00649</v>
          </cell>
        </row>
        <row r="517">
          <cell r="B517" t="str">
            <v>0006A00652</v>
          </cell>
        </row>
        <row r="518">
          <cell r="B518" t="str">
            <v>0006A00653</v>
          </cell>
        </row>
        <row r="519">
          <cell r="B519" t="str">
            <v>0006A00654</v>
          </cell>
        </row>
        <row r="520">
          <cell r="B520" t="str">
            <v>0006A00655</v>
          </cell>
        </row>
        <row r="521">
          <cell r="B521" t="str">
            <v>0006A00664</v>
          </cell>
        </row>
        <row r="522">
          <cell r="B522" t="str">
            <v>0006A00668</v>
          </cell>
        </row>
        <row r="523">
          <cell r="B523" t="str">
            <v>0006A00671</v>
          </cell>
        </row>
        <row r="524">
          <cell r="B524" t="str">
            <v>0006A00672</v>
          </cell>
        </row>
        <row r="525">
          <cell r="B525" t="str">
            <v>0006A00674</v>
          </cell>
        </row>
        <row r="526">
          <cell r="B526" t="str">
            <v>0006A00677</v>
          </cell>
        </row>
        <row r="527">
          <cell r="B527" t="str">
            <v>0006A00678</v>
          </cell>
        </row>
        <row r="528">
          <cell r="B528" t="str">
            <v>0006A00681</v>
          </cell>
        </row>
        <row r="529">
          <cell r="B529" t="str">
            <v>0006A00682</v>
          </cell>
        </row>
        <row r="530">
          <cell r="B530" t="str">
            <v>0006A00683</v>
          </cell>
        </row>
        <row r="531">
          <cell r="B531" t="str">
            <v>0006A00684</v>
          </cell>
        </row>
        <row r="532">
          <cell r="B532" t="str">
            <v>0006A00686</v>
          </cell>
        </row>
        <row r="533">
          <cell r="B533" t="str">
            <v>0006A00688</v>
          </cell>
        </row>
        <row r="534">
          <cell r="B534" t="str">
            <v>0006A00696</v>
          </cell>
        </row>
        <row r="535">
          <cell r="B535" t="str">
            <v>0006A00697</v>
          </cell>
        </row>
        <row r="536">
          <cell r="B536" t="str">
            <v>0006A00698</v>
          </cell>
        </row>
        <row r="537">
          <cell r="B537" t="str">
            <v>0006A00699</v>
          </cell>
        </row>
        <row r="538">
          <cell r="B538" t="str">
            <v>0006A00700</v>
          </cell>
        </row>
        <row r="539">
          <cell r="B539" t="str">
            <v>0006A00701</v>
          </cell>
        </row>
        <row r="540">
          <cell r="B540" t="str">
            <v>0006A00703</v>
          </cell>
        </row>
        <row r="541">
          <cell r="B541" t="str">
            <v>0006A00705</v>
          </cell>
        </row>
        <row r="542">
          <cell r="B542" t="str">
            <v>0006A00706</v>
          </cell>
        </row>
        <row r="543">
          <cell r="B543" t="str">
            <v>0006A00708</v>
          </cell>
        </row>
        <row r="544">
          <cell r="B544" t="str">
            <v>0006A00709</v>
          </cell>
        </row>
        <row r="545">
          <cell r="B545" t="str">
            <v>0006A00710</v>
          </cell>
        </row>
        <row r="546">
          <cell r="B546" t="str">
            <v>0006A00711</v>
          </cell>
        </row>
        <row r="547">
          <cell r="B547" t="str">
            <v>0006A00713</v>
          </cell>
        </row>
        <row r="548">
          <cell r="B548" t="str">
            <v>0006A00714</v>
          </cell>
        </row>
        <row r="549">
          <cell r="B549" t="str">
            <v>0006A00716</v>
          </cell>
        </row>
        <row r="550">
          <cell r="B550" t="str">
            <v>0006A00717</v>
          </cell>
        </row>
        <row r="551">
          <cell r="B551" t="str">
            <v>0006A00718</v>
          </cell>
        </row>
        <row r="552">
          <cell r="B552" t="str">
            <v>0006A00719</v>
          </cell>
        </row>
        <row r="553">
          <cell r="B553" t="str">
            <v>0006A00720</v>
          </cell>
        </row>
        <row r="554">
          <cell r="B554" t="str">
            <v>0006A00723</v>
          </cell>
        </row>
        <row r="555">
          <cell r="B555" t="str">
            <v>0006A00724</v>
          </cell>
        </row>
        <row r="556">
          <cell r="B556" t="str">
            <v>0006A00726</v>
          </cell>
        </row>
        <row r="557">
          <cell r="B557" t="str">
            <v>0006A00727</v>
          </cell>
        </row>
        <row r="558">
          <cell r="B558" t="str">
            <v>0006A00728</v>
          </cell>
        </row>
        <row r="559">
          <cell r="B559" t="str">
            <v>0006A00729</v>
          </cell>
        </row>
        <row r="560">
          <cell r="B560" t="str">
            <v>0006A00730</v>
          </cell>
        </row>
        <row r="561">
          <cell r="B561" t="str">
            <v>0006A00731</v>
          </cell>
        </row>
        <row r="562">
          <cell r="B562" t="str">
            <v>0006A00733</v>
          </cell>
        </row>
        <row r="563">
          <cell r="B563" t="str">
            <v>0006A06001</v>
          </cell>
        </row>
        <row r="564">
          <cell r="B564" t="str">
            <v>0006A06002</v>
          </cell>
        </row>
        <row r="565">
          <cell r="B565" t="str">
            <v>0006A06003</v>
          </cell>
        </row>
        <row r="566">
          <cell r="B566" t="str">
            <v>0006A06004</v>
          </cell>
        </row>
        <row r="567">
          <cell r="B567" t="str">
            <v>0006A06005</v>
          </cell>
        </row>
        <row r="568">
          <cell r="B568" t="str">
            <v>0006A06006</v>
          </cell>
        </row>
        <row r="569">
          <cell r="B569" t="str">
            <v>0006A06007</v>
          </cell>
        </row>
        <row r="570">
          <cell r="B570" t="str">
            <v>0006A06008</v>
          </cell>
        </row>
        <row r="571">
          <cell r="B571" t="str">
            <v>0006A06009</v>
          </cell>
        </row>
        <row r="572">
          <cell r="B572" t="str">
            <v>0006A06010</v>
          </cell>
        </row>
        <row r="573">
          <cell r="B573" t="str">
            <v>0006A07001</v>
          </cell>
        </row>
        <row r="574">
          <cell r="B574" t="str">
            <v>0006A07002</v>
          </cell>
        </row>
        <row r="575">
          <cell r="B575" t="str">
            <v>0006A07004</v>
          </cell>
        </row>
        <row r="576">
          <cell r="B576" t="str">
            <v>0006A07502</v>
          </cell>
        </row>
        <row r="577">
          <cell r="B577" t="str">
            <v>0006A07503</v>
          </cell>
        </row>
        <row r="578">
          <cell r="B578" t="str">
            <v>0006A07504</v>
          </cell>
        </row>
        <row r="579">
          <cell r="B579" t="str">
            <v>0006A07505</v>
          </cell>
        </row>
        <row r="580">
          <cell r="B580" t="str">
            <v>0006A07506</v>
          </cell>
        </row>
        <row r="581">
          <cell r="B581" t="str">
            <v>0006A07507</v>
          </cell>
        </row>
        <row r="582">
          <cell r="B582" t="str">
            <v>0006A07508</v>
          </cell>
        </row>
        <row r="583">
          <cell r="B583" t="str">
            <v>0006A07509</v>
          </cell>
        </row>
        <row r="584">
          <cell r="B584" t="str">
            <v>0006A07510</v>
          </cell>
        </row>
        <row r="585">
          <cell r="B585" t="str">
            <v>0006A07512</v>
          </cell>
        </row>
        <row r="586">
          <cell r="B586" t="str">
            <v>0006A07513</v>
          </cell>
        </row>
        <row r="587">
          <cell r="B587" t="str">
            <v>0006A07514</v>
          </cell>
        </row>
        <row r="588">
          <cell r="B588" t="str">
            <v>0006A07515</v>
          </cell>
        </row>
        <row r="589">
          <cell r="B589" t="str">
            <v>0006A07516</v>
          </cell>
        </row>
        <row r="590">
          <cell r="B590" t="str">
            <v>0006A07517</v>
          </cell>
        </row>
        <row r="591">
          <cell r="B591" t="str">
            <v>0006A07518</v>
          </cell>
        </row>
        <row r="592">
          <cell r="B592" t="str">
            <v>0006A07519</v>
          </cell>
        </row>
        <row r="593">
          <cell r="B593" t="str">
            <v>0006A07520</v>
          </cell>
        </row>
        <row r="594">
          <cell r="B594" t="str">
            <v>0006A07521</v>
          </cell>
        </row>
        <row r="595">
          <cell r="B595" t="str">
            <v>0006A07522</v>
          </cell>
        </row>
        <row r="596">
          <cell r="B596" t="str">
            <v>0006A07523</v>
          </cell>
        </row>
        <row r="597">
          <cell r="B597" t="str">
            <v>0006A07524</v>
          </cell>
        </row>
        <row r="598">
          <cell r="B598" t="str">
            <v>0006A07525</v>
          </cell>
        </row>
        <row r="599">
          <cell r="B599" t="str">
            <v>0006A07526</v>
          </cell>
        </row>
        <row r="600">
          <cell r="B600" t="str">
            <v>0006A07527</v>
          </cell>
        </row>
        <row r="601">
          <cell r="B601" t="str">
            <v>0006A07528</v>
          </cell>
        </row>
        <row r="602">
          <cell r="B602" t="str">
            <v>0006A07600</v>
          </cell>
        </row>
        <row r="603">
          <cell r="B603" t="str">
            <v>0006A07601</v>
          </cell>
        </row>
        <row r="604">
          <cell r="B604" t="str">
            <v>0006A07602</v>
          </cell>
        </row>
        <row r="605">
          <cell r="B605" t="str">
            <v>0006A07603</v>
          </cell>
        </row>
        <row r="606">
          <cell r="B606" t="str">
            <v>0006A08004</v>
          </cell>
        </row>
        <row r="607">
          <cell r="B607" t="str">
            <v>0006A08009</v>
          </cell>
        </row>
        <row r="608">
          <cell r="B608" t="str">
            <v>0006A08501</v>
          </cell>
        </row>
        <row r="609">
          <cell r="B609" t="str">
            <v>0006A08503</v>
          </cell>
        </row>
        <row r="610">
          <cell r="B610" t="str">
            <v>0006A08504</v>
          </cell>
        </row>
        <row r="611">
          <cell r="B611" t="str">
            <v>0006A08505</v>
          </cell>
        </row>
        <row r="612">
          <cell r="B612" t="str">
            <v>0006A08506</v>
          </cell>
        </row>
        <row r="613">
          <cell r="B613" t="str">
            <v>0006A08507</v>
          </cell>
        </row>
        <row r="614">
          <cell r="B614" t="str">
            <v>0006A08509</v>
          </cell>
        </row>
        <row r="615">
          <cell r="B615" t="str">
            <v>0006A08550</v>
          </cell>
        </row>
        <row r="616">
          <cell r="B616" t="str">
            <v>0006A08551</v>
          </cell>
        </row>
        <row r="617">
          <cell r="B617" t="str">
            <v>0006A08553</v>
          </cell>
        </row>
        <row r="618">
          <cell r="B618" t="str">
            <v>0006A09000</v>
          </cell>
        </row>
        <row r="619">
          <cell r="B619" t="str">
            <v>0006A09001</v>
          </cell>
        </row>
        <row r="620">
          <cell r="B620" t="str">
            <v>0006A09004</v>
          </cell>
        </row>
        <row r="621">
          <cell r="B621" t="str">
            <v>0006A09005</v>
          </cell>
        </row>
        <row r="622">
          <cell r="B622" t="str">
            <v>0006A09006</v>
          </cell>
        </row>
        <row r="623">
          <cell r="B623" t="str">
            <v>0006A09007</v>
          </cell>
        </row>
        <row r="624">
          <cell r="B624" t="str">
            <v>0006A09008</v>
          </cell>
        </row>
        <row r="625">
          <cell r="B625" t="str">
            <v>0006A09012</v>
          </cell>
        </row>
        <row r="626">
          <cell r="B626" t="str">
            <v>0006A09013</v>
          </cell>
        </row>
        <row r="627">
          <cell r="B627" t="str">
            <v>0006A09015</v>
          </cell>
        </row>
        <row r="628">
          <cell r="B628" t="str">
            <v>0006A09016</v>
          </cell>
        </row>
        <row r="629">
          <cell r="B629" t="str">
            <v>0006A09017</v>
          </cell>
        </row>
        <row r="630">
          <cell r="B630" t="str">
            <v>0006A09018</v>
          </cell>
        </row>
        <row r="631">
          <cell r="B631" t="str">
            <v>0006A09019</v>
          </cell>
        </row>
        <row r="632">
          <cell r="B632" t="str">
            <v>0006A09020</v>
          </cell>
        </row>
        <row r="633">
          <cell r="B633" t="str">
            <v>0006A09021</v>
          </cell>
        </row>
        <row r="634">
          <cell r="B634" t="str">
            <v>0006A09039</v>
          </cell>
        </row>
        <row r="635">
          <cell r="B635" t="str">
            <v>0006A09052</v>
          </cell>
        </row>
        <row r="636">
          <cell r="B636" t="str">
            <v>0006A09053</v>
          </cell>
        </row>
        <row r="637">
          <cell r="B637" t="str">
            <v>0006A09055</v>
          </cell>
        </row>
        <row r="638">
          <cell r="B638" t="str">
            <v>0006A09056</v>
          </cell>
        </row>
        <row r="639">
          <cell r="B639" t="str">
            <v>0006A09057</v>
          </cell>
        </row>
        <row r="640">
          <cell r="B640" t="str">
            <v>0006A09058</v>
          </cell>
        </row>
        <row r="641">
          <cell r="B641" t="str">
            <v>0006A09059</v>
          </cell>
        </row>
        <row r="642">
          <cell r="B642" t="str">
            <v>0006A09060</v>
          </cell>
        </row>
        <row r="643">
          <cell r="B643" t="str">
            <v>0006A09061</v>
          </cell>
        </row>
        <row r="644">
          <cell r="B644" t="str">
            <v>0006A09062</v>
          </cell>
        </row>
        <row r="645">
          <cell r="B645" t="str">
            <v>0006A09063</v>
          </cell>
        </row>
        <row r="646">
          <cell r="B646" t="str">
            <v>0006A09064</v>
          </cell>
        </row>
        <row r="647">
          <cell r="B647" t="str">
            <v>0006A09065</v>
          </cell>
        </row>
        <row r="648">
          <cell r="B648" t="str">
            <v>0006A09066</v>
          </cell>
        </row>
        <row r="649">
          <cell r="B649" t="str">
            <v>0006A09067</v>
          </cell>
        </row>
        <row r="650">
          <cell r="B650" t="str">
            <v>0006A09068</v>
          </cell>
        </row>
        <row r="651">
          <cell r="B651" t="str">
            <v>0006A09069</v>
          </cell>
        </row>
        <row r="652">
          <cell r="B652" t="str">
            <v>0006A09070</v>
          </cell>
        </row>
        <row r="653">
          <cell r="B653" t="str">
            <v>0006A09071</v>
          </cell>
        </row>
        <row r="654">
          <cell r="B654" t="str">
            <v>0006A09072</v>
          </cell>
        </row>
        <row r="655">
          <cell r="B655" t="str">
            <v>0006A09073</v>
          </cell>
        </row>
        <row r="656">
          <cell r="B656" t="str">
            <v>0006A09074</v>
          </cell>
        </row>
        <row r="657">
          <cell r="B657" t="str">
            <v>0006A09075</v>
          </cell>
        </row>
        <row r="658">
          <cell r="B658" t="str">
            <v>0006A09076</v>
          </cell>
        </row>
        <row r="659">
          <cell r="B659" t="str">
            <v>0006A09077</v>
          </cell>
        </row>
        <row r="660">
          <cell r="B660" t="str">
            <v>0006A09080</v>
          </cell>
        </row>
        <row r="661">
          <cell r="B661" t="str">
            <v>0006A09081</v>
          </cell>
        </row>
        <row r="662">
          <cell r="B662" t="str">
            <v>0006A09082</v>
          </cell>
        </row>
        <row r="663">
          <cell r="B663" t="str">
            <v>0006A09084</v>
          </cell>
        </row>
        <row r="664">
          <cell r="B664" t="str">
            <v>0006A09085</v>
          </cell>
        </row>
        <row r="665">
          <cell r="B665" t="str">
            <v>0006A09086</v>
          </cell>
        </row>
        <row r="666">
          <cell r="B666" t="str">
            <v>0006A09087</v>
          </cell>
        </row>
        <row r="667">
          <cell r="B667" t="str">
            <v>0006A09088</v>
          </cell>
        </row>
        <row r="668">
          <cell r="B668" t="str">
            <v>0006A09089</v>
          </cell>
        </row>
        <row r="669">
          <cell r="B669" t="str">
            <v>0006A09090</v>
          </cell>
        </row>
        <row r="670">
          <cell r="B670" t="str">
            <v>0006A09091</v>
          </cell>
        </row>
        <row r="671">
          <cell r="B671" t="str">
            <v>0006A09092</v>
          </cell>
        </row>
        <row r="672">
          <cell r="B672" t="str">
            <v>0006A09093</v>
          </cell>
        </row>
        <row r="673">
          <cell r="B673" t="str">
            <v>0006A09094</v>
          </cell>
        </row>
        <row r="674">
          <cell r="B674" t="str">
            <v>0006A09095</v>
          </cell>
        </row>
        <row r="675">
          <cell r="B675" t="str">
            <v>0006A09096</v>
          </cell>
        </row>
        <row r="676">
          <cell r="B676" t="str">
            <v>0006A09097</v>
          </cell>
        </row>
        <row r="677">
          <cell r="B677" t="str">
            <v>0006A09098</v>
          </cell>
        </row>
        <row r="678">
          <cell r="B678" t="str">
            <v>0006A09099</v>
          </cell>
        </row>
        <row r="679">
          <cell r="B679" t="str">
            <v>0006A09100</v>
          </cell>
        </row>
        <row r="680">
          <cell r="B680" t="str">
            <v>0006A09101</v>
          </cell>
        </row>
        <row r="681">
          <cell r="B681" t="str">
            <v>0006A09102</v>
          </cell>
        </row>
        <row r="682">
          <cell r="B682" t="str">
            <v>0006A09103</v>
          </cell>
        </row>
        <row r="683">
          <cell r="B683" t="str">
            <v>0006A09104</v>
          </cell>
        </row>
        <row r="684">
          <cell r="B684" t="str">
            <v>0006A09107</v>
          </cell>
        </row>
        <row r="685">
          <cell r="B685" t="str">
            <v>0006A09111</v>
          </cell>
        </row>
        <row r="686">
          <cell r="B686" t="str">
            <v>0006A09113</v>
          </cell>
        </row>
        <row r="687">
          <cell r="B687" t="str">
            <v>0006A09115</v>
          </cell>
        </row>
        <row r="688">
          <cell r="B688" t="str">
            <v>0006A09116</v>
          </cell>
        </row>
        <row r="689">
          <cell r="B689" t="str">
            <v>0006A09118</v>
          </cell>
        </row>
        <row r="690">
          <cell r="B690" t="str">
            <v>0006A09120</v>
          </cell>
        </row>
        <row r="691">
          <cell r="B691" t="str">
            <v>0006A09122</v>
          </cell>
        </row>
        <row r="692">
          <cell r="B692" t="str">
            <v>0006A09123</v>
          </cell>
        </row>
        <row r="693">
          <cell r="B693" t="str">
            <v>0006A09124</v>
          </cell>
        </row>
        <row r="694">
          <cell r="B694" t="str">
            <v>0006A09128</v>
          </cell>
        </row>
        <row r="695">
          <cell r="B695" t="str">
            <v>0006A09129</v>
          </cell>
        </row>
        <row r="696">
          <cell r="B696" t="str">
            <v>0006A09132</v>
          </cell>
        </row>
        <row r="697">
          <cell r="B697" t="str">
            <v>0006A09133</v>
          </cell>
        </row>
        <row r="698">
          <cell r="B698" t="str">
            <v>0006A09137</v>
          </cell>
        </row>
        <row r="699">
          <cell r="B699" t="str">
            <v>0006A09140</v>
          </cell>
        </row>
        <row r="700">
          <cell r="B700" t="str">
            <v>0006A09141</v>
          </cell>
        </row>
        <row r="701">
          <cell r="B701" t="str">
            <v>0006A09142</v>
          </cell>
        </row>
        <row r="702">
          <cell r="B702" t="str">
            <v>0006A09143</v>
          </cell>
        </row>
        <row r="703">
          <cell r="B703" t="str">
            <v>0006A09144</v>
          </cell>
        </row>
        <row r="704">
          <cell r="B704" t="str">
            <v>0006A09146</v>
          </cell>
        </row>
        <row r="705">
          <cell r="B705" t="str">
            <v>0006A09147</v>
          </cell>
        </row>
        <row r="706">
          <cell r="B706" t="str">
            <v>0006A09149</v>
          </cell>
        </row>
        <row r="707">
          <cell r="B707" t="str">
            <v>0006A09150</v>
          </cell>
        </row>
        <row r="708">
          <cell r="B708" t="str">
            <v>0006A09151</v>
          </cell>
        </row>
        <row r="709">
          <cell r="B709" t="str">
            <v>0006A09152</v>
          </cell>
        </row>
        <row r="710">
          <cell r="B710" t="str">
            <v>0006A09154</v>
          </cell>
        </row>
        <row r="711">
          <cell r="B711" t="str">
            <v>0006A09155</v>
          </cell>
        </row>
        <row r="712">
          <cell r="B712" t="str">
            <v>0006A09156</v>
          </cell>
        </row>
        <row r="713">
          <cell r="B713" t="str">
            <v>0006A09157</v>
          </cell>
        </row>
        <row r="714">
          <cell r="B714" t="str">
            <v>0006A09161</v>
          </cell>
        </row>
        <row r="715">
          <cell r="B715" t="str">
            <v>0006A09162</v>
          </cell>
        </row>
        <row r="716">
          <cell r="B716" t="str">
            <v>0006A09164</v>
          </cell>
        </row>
        <row r="717">
          <cell r="B717" t="str">
            <v>0006A09166</v>
          </cell>
        </row>
        <row r="718">
          <cell r="B718" t="str">
            <v>0006A09167</v>
          </cell>
        </row>
        <row r="719">
          <cell r="B719" t="str">
            <v>0006A09169</v>
          </cell>
        </row>
        <row r="720">
          <cell r="B720" t="str">
            <v>0006A09170</v>
          </cell>
        </row>
        <row r="721">
          <cell r="B721" t="str">
            <v>0006A09171</v>
          </cell>
        </row>
        <row r="722">
          <cell r="B722" t="str">
            <v>0006A09172</v>
          </cell>
        </row>
        <row r="723">
          <cell r="B723" t="str">
            <v>0006A09173</v>
          </cell>
        </row>
        <row r="724">
          <cell r="B724" t="str">
            <v>0006A09174</v>
          </cell>
        </row>
        <row r="725">
          <cell r="B725" t="str">
            <v>0006A09175</v>
          </cell>
        </row>
        <row r="726">
          <cell r="B726" t="str">
            <v>0006A09176</v>
          </cell>
        </row>
        <row r="727">
          <cell r="B727" t="str">
            <v>0006A09177</v>
          </cell>
        </row>
        <row r="728">
          <cell r="B728" t="str">
            <v>0006A09178</v>
          </cell>
        </row>
        <row r="729">
          <cell r="B729" t="str">
            <v>0006A09180</v>
          </cell>
        </row>
        <row r="730">
          <cell r="B730" t="str">
            <v>0006A09184</v>
          </cell>
        </row>
        <row r="731">
          <cell r="B731" t="str">
            <v>0006A09185</v>
          </cell>
        </row>
        <row r="732">
          <cell r="B732" t="str">
            <v>0006A09186</v>
          </cell>
        </row>
        <row r="733">
          <cell r="B733" t="str">
            <v>0006A09188</v>
          </cell>
        </row>
        <row r="734">
          <cell r="B734" t="str">
            <v>0006A09189</v>
          </cell>
        </row>
        <row r="735">
          <cell r="B735" t="str">
            <v>0006A09191</v>
          </cell>
        </row>
        <row r="736">
          <cell r="B736" t="str">
            <v>0006A09192</v>
          </cell>
        </row>
        <row r="737">
          <cell r="B737" t="str">
            <v>0006A09193</v>
          </cell>
        </row>
        <row r="738">
          <cell r="B738" t="str">
            <v>0006A09194</v>
          </cell>
        </row>
        <row r="739">
          <cell r="B739" t="str">
            <v>0006A09196</v>
          </cell>
        </row>
        <row r="740">
          <cell r="B740" t="str">
            <v>0006A09198</v>
          </cell>
        </row>
        <row r="741">
          <cell r="B741" t="str">
            <v>0006A09199</v>
          </cell>
        </row>
        <row r="742">
          <cell r="B742" t="str">
            <v>0006A09201</v>
          </cell>
        </row>
        <row r="743">
          <cell r="B743" t="str">
            <v>0006A09202</v>
          </cell>
        </row>
        <row r="744">
          <cell r="B744" t="str">
            <v>0006A09203</v>
          </cell>
        </row>
        <row r="745">
          <cell r="B745" t="str">
            <v>0006A09204</v>
          </cell>
        </row>
        <row r="746">
          <cell r="B746" t="str">
            <v>0006A09205</v>
          </cell>
        </row>
        <row r="747">
          <cell r="B747" t="str">
            <v>0006A09206</v>
          </cell>
        </row>
        <row r="748">
          <cell r="B748" t="str">
            <v>0006A09209</v>
          </cell>
        </row>
        <row r="749">
          <cell r="B749" t="str">
            <v>0006A09210</v>
          </cell>
        </row>
        <row r="750">
          <cell r="B750" t="str">
            <v>0006A09211</v>
          </cell>
        </row>
        <row r="751">
          <cell r="B751" t="str">
            <v>0006A09213</v>
          </cell>
        </row>
        <row r="752">
          <cell r="B752" t="str">
            <v>0006A09214</v>
          </cell>
        </row>
        <row r="753">
          <cell r="B753" t="str">
            <v>0006A09215</v>
          </cell>
        </row>
        <row r="754">
          <cell r="B754" t="str">
            <v>0006A09216</v>
          </cell>
        </row>
        <row r="755">
          <cell r="B755" t="str">
            <v>0006A09217</v>
          </cell>
        </row>
        <row r="756">
          <cell r="B756" t="str">
            <v>0006A09219</v>
          </cell>
        </row>
        <row r="757">
          <cell r="B757" t="str">
            <v>0006A09220</v>
          </cell>
        </row>
        <row r="758">
          <cell r="B758" t="str">
            <v>0006A09221</v>
          </cell>
        </row>
        <row r="759">
          <cell r="B759" t="str">
            <v>0006A09222</v>
          </cell>
        </row>
        <row r="760">
          <cell r="B760" t="str">
            <v>0006A09223</v>
          </cell>
        </row>
        <row r="761">
          <cell r="B761" t="str">
            <v>0006A09224</v>
          </cell>
        </row>
        <row r="762">
          <cell r="B762" t="str">
            <v>0006A09225</v>
          </cell>
        </row>
        <row r="763">
          <cell r="B763" t="str">
            <v>0006A09226</v>
          </cell>
        </row>
        <row r="764">
          <cell r="B764" t="str">
            <v>0006A09227</v>
          </cell>
        </row>
        <row r="765">
          <cell r="B765" t="str">
            <v>0006A09228</v>
          </cell>
        </row>
        <row r="766">
          <cell r="B766" t="str">
            <v>0006A09230</v>
          </cell>
        </row>
        <row r="767">
          <cell r="B767" t="str">
            <v>0006A09232</v>
          </cell>
        </row>
        <row r="768">
          <cell r="B768" t="str">
            <v>0006A09233</v>
          </cell>
        </row>
        <row r="769">
          <cell r="B769" t="str">
            <v>0006A09234</v>
          </cell>
        </row>
        <row r="770">
          <cell r="B770" t="str">
            <v>0006A09235</v>
          </cell>
        </row>
        <row r="771">
          <cell r="B771" t="str">
            <v>0006A09236</v>
          </cell>
        </row>
        <row r="772">
          <cell r="B772" t="str">
            <v>0006A09237</v>
          </cell>
        </row>
        <row r="773">
          <cell r="B773" t="str">
            <v>0006A09240</v>
          </cell>
        </row>
        <row r="774">
          <cell r="B774" t="str">
            <v>0006A09241</v>
          </cell>
        </row>
        <row r="775">
          <cell r="B775" t="str">
            <v>0006A09242</v>
          </cell>
        </row>
        <row r="776">
          <cell r="B776" t="str">
            <v>0006A09243</v>
          </cell>
        </row>
        <row r="777">
          <cell r="B777" t="str">
            <v>0006A09245</v>
          </cell>
        </row>
        <row r="778">
          <cell r="B778" t="str">
            <v>0006A09246</v>
          </cell>
        </row>
        <row r="779">
          <cell r="B779" t="str">
            <v>0006A09247</v>
          </cell>
        </row>
        <row r="780">
          <cell r="B780" t="str">
            <v>0006A09248</v>
          </cell>
        </row>
        <row r="781">
          <cell r="B781" t="str">
            <v>0006A09249</v>
          </cell>
        </row>
        <row r="782">
          <cell r="B782" t="str">
            <v>0006A09250</v>
          </cell>
        </row>
        <row r="783">
          <cell r="B783" t="str">
            <v>0006A09254</v>
          </cell>
        </row>
        <row r="784">
          <cell r="B784" t="str">
            <v>0006A09257</v>
          </cell>
        </row>
        <row r="785">
          <cell r="B785" t="str">
            <v>0006A09258</v>
          </cell>
        </row>
        <row r="786">
          <cell r="B786" t="str">
            <v>0006A09259</v>
          </cell>
        </row>
        <row r="787">
          <cell r="B787" t="str">
            <v>0006A09262</v>
          </cell>
        </row>
        <row r="788">
          <cell r="B788" t="str">
            <v>0006A09263</v>
          </cell>
        </row>
        <row r="789">
          <cell r="B789" t="str">
            <v>0006A09264</v>
          </cell>
        </row>
        <row r="790">
          <cell r="B790" t="str">
            <v>0006A09265</v>
          </cell>
        </row>
        <row r="791">
          <cell r="B791" t="str">
            <v>0006A09266</v>
          </cell>
        </row>
        <row r="792">
          <cell r="B792" t="str">
            <v>0006A09267</v>
          </cell>
        </row>
        <row r="793">
          <cell r="B793" t="str">
            <v>0006A09270</v>
          </cell>
        </row>
        <row r="794">
          <cell r="B794" t="str">
            <v>0006A09271</v>
          </cell>
        </row>
        <row r="795">
          <cell r="B795" t="str">
            <v>0006A09273</v>
          </cell>
        </row>
        <row r="796">
          <cell r="B796" t="str">
            <v>0006A09274</v>
          </cell>
        </row>
        <row r="797">
          <cell r="B797" t="str">
            <v>0006A09275</v>
          </cell>
        </row>
        <row r="798">
          <cell r="B798" t="str">
            <v>0006A09276</v>
          </cell>
        </row>
        <row r="799">
          <cell r="B799" t="str">
            <v>0006A09277</v>
          </cell>
        </row>
        <row r="800">
          <cell r="B800" t="str">
            <v>0006A09278</v>
          </cell>
        </row>
        <row r="801">
          <cell r="B801" t="str">
            <v>0006A09279</v>
          </cell>
        </row>
        <row r="802">
          <cell r="B802" t="str">
            <v>0006A09280</v>
          </cell>
        </row>
        <row r="803">
          <cell r="B803" t="str">
            <v>0006A09281</v>
          </cell>
        </row>
        <row r="804">
          <cell r="B804" t="str">
            <v>0006A09285</v>
          </cell>
        </row>
        <row r="805">
          <cell r="B805" t="str">
            <v>0006A09286</v>
          </cell>
        </row>
        <row r="806">
          <cell r="B806" t="str">
            <v>0006A09288</v>
          </cell>
        </row>
        <row r="807">
          <cell r="B807" t="str">
            <v>0006A09289</v>
          </cell>
        </row>
        <row r="808">
          <cell r="B808" t="str">
            <v>0006A09290</v>
          </cell>
        </row>
        <row r="809">
          <cell r="B809" t="str">
            <v>0006A09292</v>
          </cell>
        </row>
        <row r="810">
          <cell r="B810" t="str">
            <v>0006A09293</v>
          </cell>
        </row>
        <row r="811">
          <cell r="B811" t="str">
            <v>0006A09294</v>
          </cell>
        </row>
        <row r="812">
          <cell r="B812" t="str">
            <v>0006A09295</v>
          </cell>
        </row>
        <row r="813">
          <cell r="B813" t="str">
            <v>0006A09296</v>
          </cell>
        </row>
        <row r="814">
          <cell r="B814" t="str">
            <v>0006A09297</v>
          </cell>
        </row>
        <row r="815">
          <cell r="B815" t="str">
            <v>0006A09298</v>
          </cell>
        </row>
        <row r="816">
          <cell r="B816" t="str">
            <v>0006A09299</v>
          </cell>
        </row>
        <row r="817">
          <cell r="B817" t="str">
            <v>0006A09300</v>
          </cell>
        </row>
        <row r="818">
          <cell r="B818" t="str">
            <v>0006A09301</v>
          </cell>
        </row>
        <row r="819">
          <cell r="B819" t="str">
            <v>0006A09302</v>
          </cell>
        </row>
        <row r="820">
          <cell r="B820" t="str">
            <v>0006A09305</v>
          </cell>
        </row>
        <row r="821">
          <cell r="B821" t="str">
            <v>0006A09306</v>
          </cell>
        </row>
        <row r="822">
          <cell r="B822" t="str">
            <v>0006A09307</v>
          </cell>
        </row>
        <row r="823">
          <cell r="B823" t="str">
            <v>0006A09308</v>
          </cell>
        </row>
        <row r="824">
          <cell r="B824" t="str">
            <v>0006A09310</v>
          </cell>
        </row>
        <row r="825">
          <cell r="B825" t="str">
            <v>0006A09311</v>
          </cell>
        </row>
        <row r="826">
          <cell r="B826" t="str">
            <v>0006A09312</v>
          </cell>
        </row>
        <row r="827">
          <cell r="B827" t="str">
            <v>0006A09314</v>
          </cell>
        </row>
        <row r="828">
          <cell r="B828" t="str">
            <v>0006A09315</v>
          </cell>
        </row>
        <row r="829">
          <cell r="B829" t="str">
            <v>0006A09316</v>
          </cell>
        </row>
        <row r="830">
          <cell r="B830" t="str">
            <v>0006A09317</v>
          </cell>
        </row>
        <row r="831">
          <cell r="B831" t="str">
            <v>0006A09318</v>
          </cell>
        </row>
        <row r="832">
          <cell r="B832" t="str">
            <v>0006A09319</v>
          </cell>
        </row>
        <row r="833">
          <cell r="B833" t="str">
            <v>0006A09320</v>
          </cell>
        </row>
        <row r="834">
          <cell r="B834" t="str">
            <v>0006A09321</v>
          </cell>
        </row>
        <row r="835">
          <cell r="B835" t="str">
            <v>0006A09322</v>
          </cell>
        </row>
        <row r="836">
          <cell r="B836" t="str">
            <v>0006A09323</v>
          </cell>
        </row>
        <row r="837">
          <cell r="B837" t="str">
            <v>0006A09324</v>
          </cell>
        </row>
        <row r="838">
          <cell r="B838" t="str">
            <v>0006A09325</v>
          </cell>
        </row>
        <row r="839">
          <cell r="B839" t="str">
            <v>0006A09326</v>
          </cell>
        </row>
        <row r="840">
          <cell r="B840" t="str">
            <v>0006A09327</v>
          </cell>
        </row>
        <row r="841">
          <cell r="B841" t="str">
            <v>0006A09329</v>
          </cell>
        </row>
        <row r="842">
          <cell r="B842" t="str">
            <v>0006A09330</v>
          </cell>
        </row>
        <row r="843">
          <cell r="B843" t="str">
            <v>0006A09331</v>
          </cell>
        </row>
        <row r="844">
          <cell r="B844" t="str">
            <v>0006A09332</v>
          </cell>
        </row>
        <row r="845">
          <cell r="B845" t="str">
            <v>0006A09333</v>
          </cell>
        </row>
        <row r="846">
          <cell r="B846" t="str">
            <v>0006A09334</v>
          </cell>
        </row>
        <row r="847">
          <cell r="B847" t="str">
            <v>0006A09335</v>
          </cell>
        </row>
        <row r="848">
          <cell r="B848" t="str">
            <v>0006A09336</v>
          </cell>
        </row>
        <row r="849">
          <cell r="B849" t="str">
            <v>0006A09340</v>
          </cell>
        </row>
        <row r="850">
          <cell r="B850" t="str">
            <v>0006A09342</v>
          </cell>
        </row>
        <row r="851">
          <cell r="B851" t="str">
            <v>0006A09343</v>
          </cell>
        </row>
        <row r="852">
          <cell r="B852" t="str">
            <v>0006A09344</v>
          </cell>
        </row>
        <row r="853">
          <cell r="B853" t="str">
            <v>0006A09345</v>
          </cell>
        </row>
        <row r="854">
          <cell r="B854" t="str">
            <v>0006A09346</v>
          </cell>
        </row>
        <row r="855">
          <cell r="B855" t="str">
            <v>0006A09347</v>
          </cell>
        </row>
        <row r="856">
          <cell r="B856" t="str">
            <v>0006A09348</v>
          </cell>
        </row>
        <row r="857">
          <cell r="B857" t="str">
            <v>0006A09349</v>
          </cell>
        </row>
        <row r="858">
          <cell r="B858" t="str">
            <v>0006A09350</v>
          </cell>
        </row>
        <row r="859">
          <cell r="B859" t="str">
            <v>0006A09351</v>
          </cell>
        </row>
        <row r="860">
          <cell r="B860" t="str">
            <v>0006A09353</v>
          </cell>
        </row>
        <row r="861">
          <cell r="B861" t="str">
            <v>0006A09354</v>
          </cell>
        </row>
        <row r="862">
          <cell r="B862" t="str">
            <v>0006A09355</v>
          </cell>
        </row>
        <row r="863">
          <cell r="B863" t="str">
            <v>0006A09356</v>
          </cell>
        </row>
        <row r="864">
          <cell r="B864" t="str">
            <v>0006A09357</v>
          </cell>
        </row>
        <row r="865">
          <cell r="B865" t="str">
            <v>0006A09358</v>
          </cell>
        </row>
        <row r="866">
          <cell r="B866" t="str">
            <v>0006A09359</v>
          </cell>
        </row>
        <row r="867">
          <cell r="B867" t="str">
            <v>0006A09360</v>
          </cell>
        </row>
        <row r="868">
          <cell r="B868" t="str">
            <v>0006A09361</v>
          </cell>
        </row>
        <row r="869">
          <cell r="B869" t="str">
            <v>0006A09362</v>
          </cell>
        </row>
        <row r="870">
          <cell r="B870" t="str">
            <v>0006A09363</v>
          </cell>
        </row>
        <row r="871">
          <cell r="B871" t="str">
            <v>0006A09364</v>
          </cell>
        </row>
        <row r="872">
          <cell r="B872" t="str">
            <v>0006A09365</v>
          </cell>
        </row>
        <row r="873">
          <cell r="B873" t="str">
            <v>0006A09367</v>
          </cell>
        </row>
        <row r="874">
          <cell r="B874" t="str">
            <v>0006A09368</v>
          </cell>
        </row>
        <row r="875">
          <cell r="B875" t="str">
            <v>0006A09369</v>
          </cell>
        </row>
        <row r="876">
          <cell r="B876" t="str">
            <v>0006A09371</v>
          </cell>
        </row>
        <row r="877">
          <cell r="B877" t="str">
            <v>0006A09372</v>
          </cell>
        </row>
        <row r="878">
          <cell r="B878" t="str">
            <v>0006A09375</v>
          </cell>
        </row>
        <row r="879">
          <cell r="B879" t="str">
            <v>0006A09376</v>
          </cell>
        </row>
        <row r="880">
          <cell r="B880" t="str">
            <v>0006A09378</v>
          </cell>
        </row>
        <row r="881">
          <cell r="B881" t="str">
            <v>0006A09379</v>
          </cell>
        </row>
        <row r="882">
          <cell r="B882" t="str">
            <v>0006A09380</v>
          </cell>
        </row>
        <row r="883">
          <cell r="B883" t="str">
            <v>0006A09381</v>
          </cell>
        </row>
        <row r="884">
          <cell r="B884" t="str">
            <v>0006A09382</v>
          </cell>
        </row>
        <row r="885">
          <cell r="B885" t="str">
            <v>0006A09383</v>
          </cell>
        </row>
        <row r="886">
          <cell r="B886" t="str">
            <v>0006A09384</v>
          </cell>
        </row>
        <row r="887">
          <cell r="B887" t="str">
            <v>0006A09385</v>
          </cell>
        </row>
        <row r="888">
          <cell r="B888" t="str">
            <v>0006A09388</v>
          </cell>
        </row>
        <row r="889">
          <cell r="B889" t="str">
            <v>0006A09389</v>
          </cell>
        </row>
        <row r="890">
          <cell r="B890" t="str">
            <v>0006A09391</v>
          </cell>
        </row>
        <row r="891">
          <cell r="B891" t="str">
            <v>0006A09392</v>
          </cell>
        </row>
        <row r="892">
          <cell r="B892" t="str">
            <v>0006A09394</v>
          </cell>
        </row>
        <row r="893">
          <cell r="B893" t="str">
            <v>0006A09395</v>
          </cell>
        </row>
        <row r="894">
          <cell r="B894" t="str">
            <v>0006A09396</v>
          </cell>
        </row>
        <row r="895">
          <cell r="B895" t="str">
            <v>0006A09397</v>
          </cell>
        </row>
        <row r="896">
          <cell r="B896" t="str">
            <v>0006A09398</v>
          </cell>
        </row>
        <row r="897">
          <cell r="B897" t="str">
            <v>0006A09399</v>
          </cell>
        </row>
        <row r="898">
          <cell r="B898" t="str">
            <v>0006A09400</v>
          </cell>
        </row>
        <row r="899">
          <cell r="B899" t="str">
            <v>0006A09401</v>
          </cell>
        </row>
        <row r="900">
          <cell r="B900" t="str">
            <v>0006A09402</v>
          </cell>
        </row>
        <row r="901">
          <cell r="B901" t="str">
            <v>0006A09403</v>
          </cell>
        </row>
        <row r="902">
          <cell r="B902" t="str">
            <v>0006A09404</v>
          </cell>
        </row>
        <row r="903">
          <cell r="B903" t="str">
            <v>0006A09405</v>
          </cell>
        </row>
        <row r="904">
          <cell r="B904" t="str">
            <v>0006A09406</v>
          </cell>
        </row>
        <row r="905">
          <cell r="B905" t="str">
            <v>0006A09407</v>
          </cell>
        </row>
        <row r="906">
          <cell r="B906" t="str">
            <v>0006A09408</v>
          </cell>
        </row>
        <row r="907">
          <cell r="B907" t="str">
            <v>0006A09409</v>
          </cell>
        </row>
        <row r="908">
          <cell r="B908" t="str">
            <v>0006A09416</v>
          </cell>
        </row>
        <row r="909">
          <cell r="B909" t="str">
            <v>0006A09417</v>
          </cell>
        </row>
        <row r="910">
          <cell r="B910" t="str">
            <v>0006A09418</v>
          </cell>
        </row>
        <row r="911">
          <cell r="B911" t="str">
            <v>0006A09419</v>
          </cell>
        </row>
        <row r="912">
          <cell r="B912" t="str">
            <v>0006A09420</v>
          </cell>
        </row>
        <row r="913">
          <cell r="B913" t="str">
            <v>0006A09421</v>
          </cell>
        </row>
        <row r="914">
          <cell r="B914" t="str">
            <v>0006A09422</v>
          </cell>
        </row>
        <row r="915">
          <cell r="B915" t="str">
            <v>0006A09423</v>
          </cell>
        </row>
        <row r="916">
          <cell r="B916" t="str">
            <v>0006A09424</v>
          </cell>
        </row>
        <row r="917">
          <cell r="B917" t="str">
            <v>0006A09425</v>
          </cell>
        </row>
        <row r="918">
          <cell r="B918" t="str">
            <v>0006A09426</v>
          </cell>
        </row>
        <row r="919">
          <cell r="B919" t="str">
            <v>0006A09427</v>
          </cell>
        </row>
        <row r="920">
          <cell r="B920" t="str">
            <v>0006A09428</v>
          </cell>
        </row>
        <row r="921">
          <cell r="B921" t="str">
            <v>0006A09430</v>
          </cell>
        </row>
        <row r="922">
          <cell r="B922" t="str">
            <v>0006A09432</v>
          </cell>
        </row>
        <row r="923">
          <cell r="B923" t="str">
            <v>0006A09433</v>
          </cell>
        </row>
        <row r="924">
          <cell r="B924" t="str">
            <v>0006A09434</v>
          </cell>
        </row>
        <row r="925">
          <cell r="B925" t="str">
            <v>0006A09435</v>
          </cell>
        </row>
        <row r="926">
          <cell r="B926" t="str">
            <v>0006A09437</v>
          </cell>
        </row>
        <row r="927">
          <cell r="B927" t="str">
            <v>0006A09438</v>
          </cell>
        </row>
        <row r="928">
          <cell r="B928" t="str">
            <v>0006A09439</v>
          </cell>
        </row>
        <row r="929">
          <cell r="B929" t="str">
            <v>0006A09440</v>
          </cell>
        </row>
        <row r="930">
          <cell r="B930" t="str">
            <v>0006A09441</v>
          </cell>
        </row>
        <row r="931">
          <cell r="B931" t="str">
            <v>0006A09442</v>
          </cell>
        </row>
        <row r="932">
          <cell r="B932" t="str">
            <v>0006A09443</v>
          </cell>
        </row>
        <row r="933">
          <cell r="B933" t="str">
            <v>0006A09444</v>
          </cell>
        </row>
        <row r="934">
          <cell r="B934" t="str">
            <v>0006A09446</v>
          </cell>
        </row>
        <row r="935">
          <cell r="B935" t="str">
            <v>0006A09447</v>
          </cell>
        </row>
        <row r="936">
          <cell r="B936" t="str">
            <v>0006A09448</v>
          </cell>
        </row>
        <row r="937">
          <cell r="B937" t="str">
            <v>0006A09449</v>
          </cell>
        </row>
        <row r="938">
          <cell r="B938" t="str">
            <v>0006A09450</v>
          </cell>
        </row>
        <row r="939">
          <cell r="B939" t="str">
            <v>0006A09451</v>
          </cell>
        </row>
        <row r="940">
          <cell r="B940" t="str">
            <v>0006A09452</v>
          </cell>
        </row>
        <row r="941">
          <cell r="B941" t="str">
            <v>0006A09453</v>
          </cell>
        </row>
        <row r="942">
          <cell r="B942" t="str">
            <v>0006A09454</v>
          </cell>
        </row>
        <row r="943">
          <cell r="B943" t="str">
            <v>0006A09455</v>
          </cell>
        </row>
        <row r="944">
          <cell r="B944" t="str">
            <v>0006A09456</v>
          </cell>
        </row>
        <row r="945">
          <cell r="B945" t="str">
            <v>0006A09457</v>
          </cell>
        </row>
        <row r="946">
          <cell r="B946" t="str">
            <v>0006A09458</v>
          </cell>
        </row>
        <row r="947">
          <cell r="B947" t="str">
            <v>0006A09459</v>
          </cell>
        </row>
        <row r="948">
          <cell r="B948" t="str">
            <v>0006A09460</v>
          </cell>
        </row>
        <row r="949">
          <cell r="B949" t="str">
            <v>0006A09461</v>
          </cell>
        </row>
        <row r="950">
          <cell r="B950" t="str">
            <v>0006A09463</v>
          </cell>
        </row>
        <row r="951">
          <cell r="B951" t="str">
            <v>0006A09464</v>
          </cell>
        </row>
        <row r="952">
          <cell r="B952" t="str">
            <v>0006A09465</v>
          </cell>
        </row>
        <row r="953">
          <cell r="B953" t="str">
            <v>0006A09466</v>
          </cell>
        </row>
        <row r="954">
          <cell r="B954" t="str">
            <v>0006A09467</v>
          </cell>
        </row>
        <row r="955">
          <cell r="B955" t="str">
            <v>0006A09468</v>
          </cell>
        </row>
        <row r="956">
          <cell r="B956" t="str">
            <v>0006A09469</v>
          </cell>
        </row>
        <row r="957">
          <cell r="B957" t="str">
            <v>0006A09470</v>
          </cell>
        </row>
        <row r="958">
          <cell r="B958" t="str">
            <v>0006A09471</v>
          </cell>
        </row>
        <row r="959">
          <cell r="B959" t="str">
            <v>0006A09472</v>
          </cell>
        </row>
        <row r="960">
          <cell r="B960" t="str">
            <v>0006A09473</v>
          </cell>
        </row>
        <row r="961">
          <cell r="B961" t="str">
            <v>0006A09474</v>
          </cell>
        </row>
        <row r="962">
          <cell r="B962" t="str">
            <v>0006A09475</v>
          </cell>
        </row>
        <row r="963">
          <cell r="B963" t="str">
            <v>0006A09476</v>
          </cell>
        </row>
        <row r="964">
          <cell r="B964" t="str">
            <v>0006A09478</v>
          </cell>
        </row>
        <row r="965">
          <cell r="B965" t="str">
            <v>0006A09479</v>
          </cell>
        </row>
        <row r="966">
          <cell r="B966" t="str">
            <v>0006A09482</v>
          </cell>
        </row>
        <row r="967">
          <cell r="B967" t="str">
            <v>0006A09484</v>
          </cell>
        </row>
        <row r="968">
          <cell r="B968" t="str">
            <v>0006A09485</v>
          </cell>
        </row>
        <row r="969">
          <cell r="B969" t="str">
            <v>0006A09487</v>
          </cell>
        </row>
        <row r="970">
          <cell r="B970" t="str">
            <v>0006A09488</v>
          </cell>
        </row>
        <row r="971">
          <cell r="B971" t="str">
            <v>0006A09489</v>
          </cell>
        </row>
        <row r="972">
          <cell r="B972" t="str">
            <v>0006A09491</v>
          </cell>
        </row>
        <row r="973">
          <cell r="B973" t="str">
            <v>0006A09493</v>
          </cell>
        </row>
        <row r="974">
          <cell r="B974" t="str">
            <v>0006A09494</v>
          </cell>
        </row>
        <row r="975">
          <cell r="B975" t="str">
            <v>0006A09495</v>
          </cell>
        </row>
        <row r="976">
          <cell r="B976" t="str">
            <v>0006A09496</v>
          </cell>
        </row>
        <row r="977">
          <cell r="B977" t="str">
            <v>0006A09497</v>
          </cell>
        </row>
        <row r="978">
          <cell r="B978" t="str">
            <v>0006A09498</v>
          </cell>
        </row>
        <row r="979">
          <cell r="B979" t="str">
            <v>0006A09499</v>
          </cell>
        </row>
        <row r="980">
          <cell r="B980" t="str">
            <v>0006A09500</v>
          </cell>
        </row>
        <row r="981">
          <cell r="B981" t="str">
            <v>0006A09501</v>
          </cell>
        </row>
        <row r="982">
          <cell r="B982" t="str">
            <v>0006A09502</v>
          </cell>
        </row>
        <row r="983">
          <cell r="B983" t="str">
            <v>0006A09503</v>
          </cell>
        </row>
        <row r="984">
          <cell r="B984" t="str">
            <v>0006A09504</v>
          </cell>
        </row>
        <row r="985">
          <cell r="B985" t="str">
            <v>0006A09506</v>
          </cell>
        </row>
        <row r="986">
          <cell r="B986" t="str">
            <v>0006A09507</v>
          </cell>
        </row>
        <row r="987">
          <cell r="B987" t="str">
            <v>0006A09508</v>
          </cell>
        </row>
        <row r="988">
          <cell r="B988" t="str">
            <v>0006A09509</v>
          </cell>
        </row>
        <row r="989">
          <cell r="B989" t="str">
            <v>0006A09510</v>
          </cell>
        </row>
        <row r="990">
          <cell r="B990" t="str">
            <v>0006A09511</v>
          </cell>
        </row>
        <row r="991">
          <cell r="B991" t="str">
            <v>0006A09513</v>
          </cell>
        </row>
        <row r="992">
          <cell r="B992" t="str">
            <v>0006A09515</v>
          </cell>
        </row>
        <row r="993">
          <cell r="B993" t="str">
            <v>0006A09517</v>
          </cell>
        </row>
        <row r="994">
          <cell r="B994" t="str">
            <v>0006A09518</v>
          </cell>
        </row>
        <row r="995">
          <cell r="B995" t="str">
            <v>0006A09520</v>
          </cell>
        </row>
        <row r="996">
          <cell r="B996" t="str">
            <v>0006A09521</v>
          </cell>
        </row>
        <row r="997">
          <cell r="B997" t="str">
            <v>0006A09523</v>
          </cell>
        </row>
        <row r="998">
          <cell r="B998" t="str">
            <v>0006A09524</v>
          </cell>
        </row>
        <row r="999">
          <cell r="B999" t="str">
            <v>0006A09525</v>
          </cell>
        </row>
        <row r="1000">
          <cell r="B1000" t="str">
            <v>0006A09526</v>
          </cell>
        </row>
        <row r="1001">
          <cell r="B1001" t="str">
            <v>0006A09527</v>
          </cell>
        </row>
        <row r="1002">
          <cell r="B1002" t="str">
            <v>0006A09528</v>
          </cell>
        </row>
        <row r="1003">
          <cell r="B1003" t="str">
            <v>0006A09529</v>
          </cell>
        </row>
        <row r="1004">
          <cell r="B1004" t="str">
            <v>0006A09530</v>
          </cell>
        </row>
        <row r="1005">
          <cell r="B1005" t="str">
            <v>0006A09531</v>
          </cell>
        </row>
        <row r="1006">
          <cell r="B1006" t="str">
            <v>0006A09532</v>
          </cell>
        </row>
        <row r="1007">
          <cell r="B1007" t="str">
            <v>0006A09533</v>
          </cell>
        </row>
        <row r="1008">
          <cell r="B1008" t="str">
            <v>0006A09534</v>
          </cell>
        </row>
        <row r="1009">
          <cell r="B1009" t="str">
            <v>0006A09535</v>
          </cell>
        </row>
        <row r="1010">
          <cell r="B1010" t="str">
            <v>0006A09537</v>
          </cell>
        </row>
        <row r="1011">
          <cell r="B1011" t="str">
            <v>0006A09538</v>
          </cell>
        </row>
        <row r="1012">
          <cell r="B1012" t="str">
            <v>0006A09539</v>
          </cell>
        </row>
        <row r="1013">
          <cell r="B1013" t="str">
            <v>0006A09540</v>
          </cell>
        </row>
        <row r="1014">
          <cell r="B1014" t="str">
            <v>0006A09541</v>
          </cell>
        </row>
        <row r="1015">
          <cell r="B1015" t="str">
            <v>0006A09542</v>
          </cell>
        </row>
        <row r="1016">
          <cell r="B1016" t="str">
            <v>0006A09543</v>
          </cell>
        </row>
        <row r="1017">
          <cell r="B1017" t="str">
            <v>0006A09544</v>
          </cell>
        </row>
        <row r="1018">
          <cell r="B1018" t="str">
            <v>0006A09545</v>
          </cell>
        </row>
        <row r="1019">
          <cell r="B1019" t="str">
            <v>0006A09546</v>
          </cell>
        </row>
        <row r="1020">
          <cell r="B1020" t="str">
            <v>0006A09551</v>
          </cell>
        </row>
        <row r="1021">
          <cell r="B1021" t="str">
            <v>0006A09552</v>
          </cell>
        </row>
        <row r="1022">
          <cell r="B1022" t="str">
            <v>0006A09553</v>
          </cell>
        </row>
        <row r="1023">
          <cell r="B1023" t="str">
            <v>0006A09554</v>
          </cell>
        </row>
        <row r="1024">
          <cell r="B1024" t="str">
            <v>0006A09557</v>
          </cell>
        </row>
        <row r="1025">
          <cell r="B1025" t="str">
            <v>0006A09559</v>
          </cell>
        </row>
        <row r="1026">
          <cell r="B1026" t="str">
            <v>0006A09560</v>
          </cell>
        </row>
        <row r="1027">
          <cell r="B1027" t="str">
            <v>0006A09561</v>
          </cell>
        </row>
        <row r="1028">
          <cell r="B1028" t="str">
            <v>0006A09562</v>
          </cell>
        </row>
        <row r="1029">
          <cell r="B1029" t="str">
            <v>0006A09563</v>
          </cell>
        </row>
        <row r="1030">
          <cell r="B1030" t="str">
            <v>0006A09564</v>
          </cell>
        </row>
        <row r="1031">
          <cell r="B1031" t="str">
            <v>0006A09565</v>
          </cell>
        </row>
        <row r="1032">
          <cell r="B1032" t="str">
            <v>0006A09566</v>
          </cell>
        </row>
        <row r="1033">
          <cell r="B1033" t="str">
            <v>0006A09567</v>
          </cell>
        </row>
        <row r="1034">
          <cell r="B1034" t="str">
            <v>0006A09568</v>
          </cell>
        </row>
        <row r="1035">
          <cell r="B1035" t="str">
            <v>0006A09569</v>
          </cell>
        </row>
        <row r="1036">
          <cell r="B1036" t="str">
            <v>0006A09570</v>
          </cell>
        </row>
        <row r="1037">
          <cell r="B1037" t="str">
            <v>0006A09571</v>
          </cell>
        </row>
        <row r="1038">
          <cell r="B1038" t="str">
            <v>0006A09572</v>
          </cell>
        </row>
        <row r="1039">
          <cell r="B1039" t="str">
            <v>0006A09573</v>
          </cell>
        </row>
        <row r="1040">
          <cell r="B1040" t="str">
            <v>0006A09574</v>
          </cell>
        </row>
        <row r="1041">
          <cell r="B1041" t="str">
            <v>0006A09575</v>
          </cell>
        </row>
        <row r="1042">
          <cell r="B1042" t="str">
            <v>0006A09578</v>
          </cell>
        </row>
        <row r="1043">
          <cell r="B1043" t="str">
            <v>0006A09581</v>
          </cell>
        </row>
        <row r="1044">
          <cell r="B1044" t="str">
            <v>0006A09582</v>
          </cell>
        </row>
        <row r="1045">
          <cell r="B1045" t="str">
            <v>0006A09585</v>
          </cell>
        </row>
        <row r="1046">
          <cell r="B1046" t="str">
            <v>0006A09586</v>
          </cell>
        </row>
        <row r="1047">
          <cell r="B1047" t="str">
            <v>0006A09587</v>
          </cell>
        </row>
        <row r="1048">
          <cell r="B1048" t="str">
            <v>0006A09588</v>
          </cell>
        </row>
        <row r="1049">
          <cell r="B1049" t="str">
            <v>0006A09589</v>
          </cell>
        </row>
        <row r="1050">
          <cell r="B1050" t="str">
            <v>0006A09590</v>
          </cell>
        </row>
        <row r="1051">
          <cell r="B1051" t="str">
            <v>0006A09591</v>
          </cell>
        </row>
        <row r="1052">
          <cell r="B1052" t="str">
            <v>0006A09592</v>
          </cell>
        </row>
        <row r="1053">
          <cell r="B1053" t="str">
            <v>0006A09593</v>
          </cell>
        </row>
        <row r="1054">
          <cell r="B1054" t="str">
            <v>0006A09594</v>
          </cell>
        </row>
        <row r="1055">
          <cell r="B1055" t="str">
            <v>0006A09595</v>
          </cell>
        </row>
        <row r="1056">
          <cell r="B1056" t="str">
            <v>0006A09596</v>
          </cell>
        </row>
        <row r="1057">
          <cell r="B1057" t="str">
            <v>0006A09597</v>
          </cell>
        </row>
        <row r="1058">
          <cell r="B1058" t="str">
            <v>0006A09598</v>
          </cell>
        </row>
        <row r="1059">
          <cell r="B1059" t="str">
            <v>0006A09603</v>
          </cell>
        </row>
        <row r="1060">
          <cell r="B1060" t="str">
            <v>0006A09604</v>
          </cell>
        </row>
        <row r="1061">
          <cell r="B1061" t="str">
            <v>0006A09605</v>
          </cell>
        </row>
        <row r="1062">
          <cell r="B1062" t="str">
            <v>0006A09606</v>
          </cell>
        </row>
        <row r="1063">
          <cell r="B1063" t="str">
            <v>0006A09609</v>
          </cell>
        </row>
        <row r="1064">
          <cell r="B1064" t="str">
            <v>0006A09611</v>
          </cell>
        </row>
        <row r="1065">
          <cell r="B1065" t="str">
            <v>0006A09612</v>
          </cell>
        </row>
        <row r="1066">
          <cell r="B1066" t="str">
            <v>0006A09613</v>
          </cell>
        </row>
        <row r="1067">
          <cell r="B1067" t="str">
            <v>0006A09614</v>
          </cell>
        </row>
        <row r="1068">
          <cell r="B1068" t="str">
            <v>0006A09615</v>
          </cell>
        </row>
        <row r="1069">
          <cell r="B1069" t="str">
            <v>0006A09616</v>
          </cell>
        </row>
        <row r="1070">
          <cell r="B1070" t="str">
            <v>0006A09617</v>
          </cell>
        </row>
        <row r="1071">
          <cell r="B1071" t="str">
            <v>0006A09618</v>
          </cell>
        </row>
        <row r="1072">
          <cell r="B1072" t="str">
            <v>0006A09620</v>
          </cell>
        </row>
        <row r="1073">
          <cell r="B1073" t="str">
            <v>0006A09621</v>
          </cell>
        </row>
        <row r="1074">
          <cell r="B1074" t="str">
            <v>0006A09622</v>
          </cell>
        </row>
        <row r="1075">
          <cell r="B1075" t="str">
            <v>0006A09623</v>
          </cell>
        </row>
        <row r="1076">
          <cell r="B1076" t="str">
            <v>0006A09624</v>
          </cell>
        </row>
        <row r="1077">
          <cell r="B1077" t="str">
            <v>0006A09625</v>
          </cell>
        </row>
        <row r="1078">
          <cell r="B1078" t="str">
            <v>0006A09626</v>
          </cell>
        </row>
        <row r="1079">
          <cell r="B1079" t="str">
            <v>0006A09627</v>
          </cell>
        </row>
        <row r="1080">
          <cell r="B1080" t="str">
            <v>0006A09628</v>
          </cell>
        </row>
        <row r="1081">
          <cell r="B1081" t="str">
            <v>0006A09631</v>
          </cell>
        </row>
        <row r="1082">
          <cell r="B1082" t="str">
            <v>0006A09633</v>
          </cell>
        </row>
        <row r="1083">
          <cell r="B1083" t="str">
            <v>0006A09634</v>
          </cell>
        </row>
        <row r="1084">
          <cell r="B1084" t="str">
            <v>0006A09635</v>
          </cell>
        </row>
        <row r="1085">
          <cell r="B1085" t="str">
            <v>0006A09637</v>
          </cell>
        </row>
        <row r="1086">
          <cell r="B1086" t="str">
            <v>0006A09638</v>
          </cell>
        </row>
        <row r="1087">
          <cell r="B1087" t="str">
            <v>0006A09640</v>
          </cell>
        </row>
        <row r="1088">
          <cell r="B1088" t="str">
            <v>0006A09641</v>
          </cell>
        </row>
        <row r="1089">
          <cell r="B1089" t="str">
            <v>0006A09642</v>
          </cell>
        </row>
        <row r="1090">
          <cell r="B1090" t="str">
            <v>0006A09643</v>
          </cell>
        </row>
        <row r="1091">
          <cell r="B1091" t="str">
            <v>0006A09644</v>
          </cell>
        </row>
        <row r="1092">
          <cell r="B1092" t="str">
            <v>0006A09645</v>
          </cell>
        </row>
        <row r="1093">
          <cell r="B1093" t="str">
            <v>0006A09647</v>
          </cell>
        </row>
        <row r="1094">
          <cell r="B1094" t="str">
            <v>0006A09648</v>
          </cell>
        </row>
        <row r="1095">
          <cell r="B1095" t="str">
            <v>0006A09649</v>
          </cell>
        </row>
        <row r="1096">
          <cell r="B1096" t="str">
            <v>0006A09650</v>
          </cell>
        </row>
        <row r="1097">
          <cell r="B1097" t="str">
            <v>0006A09652</v>
          </cell>
        </row>
        <row r="1098">
          <cell r="B1098" t="str">
            <v>0006A09653</v>
          </cell>
        </row>
        <row r="1099">
          <cell r="B1099" t="str">
            <v>0006A09655</v>
          </cell>
        </row>
        <row r="1100">
          <cell r="B1100" t="str">
            <v>0006A09657</v>
          </cell>
        </row>
        <row r="1101">
          <cell r="B1101" t="str">
            <v>0006A09658</v>
          </cell>
        </row>
        <row r="1102">
          <cell r="B1102" t="str">
            <v>0006A09659</v>
          </cell>
        </row>
        <row r="1103">
          <cell r="B1103" t="str">
            <v>0006A09660</v>
          </cell>
        </row>
        <row r="1104">
          <cell r="B1104" t="str">
            <v>0006A09661</v>
          </cell>
        </row>
        <row r="1105">
          <cell r="B1105" t="str">
            <v>0006A09662</v>
          </cell>
        </row>
        <row r="1106">
          <cell r="B1106" t="str">
            <v>0006A09663</v>
          </cell>
        </row>
        <row r="1107">
          <cell r="B1107" t="str">
            <v>0006A09664</v>
          </cell>
        </row>
        <row r="1108">
          <cell r="B1108" t="str">
            <v>0006A09665</v>
          </cell>
        </row>
        <row r="1109">
          <cell r="B1109" t="str">
            <v>0006A09666</v>
          </cell>
        </row>
        <row r="1110">
          <cell r="B1110" t="str">
            <v>0006A09667</v>
          </cell>
        </row>
        <row r="1111">
          <cell r="B1111" t="str">
            <v>0006A09668</v>
          </cell>
        </row>
        <row r="1112">
          <cell r="B1112" t="str">
            <v>0006A09669</v>
          </cell>
        </row>
        <row r="1113">
          <cell r="B1113" t="str">
            <v>0006A09676</v>
          </cell>
        </row>
        <row r="1114">
          <cell r="B1114" t="str">
            <v>0006A09678</v>
          </cell>
        </row>
        <row r="1115">
          <cell r="B1115" t="str">
            <v>0006A09680</v>
          </cell>
        </row>
        <row r="1116">
          <cell r="B1116" t="str">
            <v>0006A09681</v>
          </cell>
        </row>
        <row r="1117">
          <cell r="B1117" t="str">
            <v>0006A09682</v>
          </cell>
        </row>
        <row r="1118">
          <cell r="B1118" t="str">
            <v>0006A09683</v>
          </cell>
        </row>
        <row r="1119">
          <cell r="B1119" t="str">
            <v>0006A09684</v>
          </cell>
        </row>
        <row r="1120">
          <cell r="B1120" t="str">
            <v>0006A09685</v>
          </cell>
        </row>
        <row r="1121">
          <cell r="B1121" t="str">
            <v>0006A09686</v>
          </cell>
        </row>
        <row r="1122">
          <cell r="B1122" t="str">
            <v>0006A09688</v>
          </cell>
        </row>
        <row r="1123">
          <cell r="B1123" t="str">
            <v>0006A09689</v>
          </cell>
        </row>
        <row r="1124">
          <cell r="B1124" t="str">
            <v>0006A09690</v>
          </cell>
        </row>
        <row r="1125">
          <cell r="B1125" t="str">
            <v>0006A09691</v>
          </cell>
        </row>
        <row r="1126">
          <cell r="B1126" t="str">
            <v>0006A09692</v>
          </cell>
        </row>
        <row r="1127">
          <cell r="B1127" t="str">
            <v>0006A09693</v>
          </cell>
        </row>
        <row r="1128">
          <cell r="B1128" t="str">
            <v>0006A09695</v>
          </cell>
        </row>
        <row r="1129">
          <cell r="B1129" t="str">
            <v>0006A09696</v>
          </cell>
        </row>
        <row r="1130">
          <cell r="B1130" t="str">
            <v>0006A09697</v>
          </cell>
        </row>
        <row r="1131">
          <cell r="B1131" t="str">
            <v>0006A09698</v>
          </cell>
        </row>
        <row r="1132">
          <cell r="B1132" t="str">
            <v>0006A09699</v>
          </cell>
        </row>
        <row r="1133">
          <cell r="B1133" t="str">
            <v>0006A09700</v>
          </cell>
        </row>
        <row r="1134">
          <cell r="B1134" t="str">
            <v>0006A09702</v>
          </cell>
        </row>
        <row r="1135">
          <cell r="B1135" t="str">
            <v>0006A09703</v>
          </cell>
        </row>
        <row r="1136">
          <cell r="B1136" t="str">
            <v>0006A09704</v>
          </cell>
        </row>
        <row r="1137">
          <cell r="B1137" t="str">
            <v>0006A09705</v>
          </cell>
        </row>
        <row r="1138">
          <cell r="B1138" t="str">
            <v>0006A09706</v>
          </cell>
        </row>
        <row r="1139">
          <cell r="B1139" t="str">
            <v>0006A09707</v>
          </cell>
        </row>
        <row r="1140">
          <cell r="B1140" t="str">
            <v>0006A09708</v>
          </cell>
        </row>
        <row r="1141">
          <cell r="B1141" t="str">
            <v>0006A09709</v>
          </cell>
        </row>
        <row r="1142">
          <cell r="B1142" t="str">
            <v>0006A09710</v>
          </cell>
        </row>
        <row r="1143">
          <cell r="B1143" t="str">
            <v>0006A09711</v>
          </cell>
        </row>
        <row r="1144">
          <cell r="B1144" t="str">
            <v>0006A09712</v>
          </cell>
        </row>
        <row r="1145">
          <cell r="B1145" t="str">
            <v>0006A09713</v>
          </cell>
        </row>
        <row r="1146">
          <cell r="B1146" t="str">
            <v>0006A09714</v>
          </cell>
        </row>
        <row r="1147">
          <cell r="B1147" t="str">
            <v>0006A09715</v>
          </cell>
        </row>
        <row r="1148">
          <cell r="B1148" t="str">
            <v>0006A09716</v>
          </cell>
        </row>
        <row r="1149">
          <cell r="B1149" t="str">
            <v>0006A09717</v>
          </cell>
        </row>
        <row r="1150">
          <cell r="B1150" t="str">
            <v>0006A09718</v>
          </cell>
        </row>
        <row r="1151">
          <cell r="B1151" t="str">
            <v>0006A09719</v>
          </cell>
        </row>
        <row r="1152">
          <cell r="B1152" t="str">
            <v>0006A09720</v>
          </cell>
        </row>
        <row r="1153">
          <cell r="B1153" t="str">
            <v>0006A09721</v>
          </cell>
        </row>
        <row r="1154">
          <cell r="B1154" t="str">
            <v>0006A09722</v>
          </cell>
        </row>
        <row r="1155">
          <cell r="B1155" t="str">
            <v>0006A09723</v>
          </cell>
        </row>
        <row r="1156">
          <cell r="B1156" t="str">
            <v>0006A09724</v>
          </cell>
        </row>
        <row r="1157">
          <cell r="B1157" t="str">
            <v>0006A09725</v>
          </cell>
        </row>
        <row r="1158">
          <cell r="B1158" t="str">
            <v>0006A09726</v>
          </cell>
        </row>
        <row r="1159">
          <cell r="B1159" t="str">
            <v>0006A09727</v>
          </cell>
        </row>
        <row r="1160">
          <cell r="B1160" t="str">
            <v>0006A09728</v>
          </cell>
        </row>
        <row r="1161">
          <cell r="B1161" t="str">
            <v>0006A09729</v>
          </cell>
        </row>
        <row r="1162">
          <cell r="B1162" t="str">
            <v>0006A09730</v>
          </cell>
        </row>
        <row r="1163">
          <cell r="B1163" t="str">
            <v>0006A09731</v>
          </cell>
        </row>
        <row r="1164">
          <cell r="B1164" t="str">
            <v>0006A09732</v>
          </cell>
        </row>
        <row r="1165">
          <cell r="B1165" t="str">
            <v>0006A09733</v>
          </cell>
        </row>
        <row r="1166">
          <cell r="B1166" t="str">
            <v>0006A09734</v>
          </cell>
        </row>
        <row r="1167">
          <cell r="B1167" t="str">
            <v>0006A09735</v>
          </cell>
        </row>
        <row r="1168">
          <cell r="B1168" t="str">
            <v>0006A09736</v>
          </cell>
        </row>
        <row r="1169">
          <cell r="B1169" t="str">
            <v>0006A09737</v>
          </cell>
        </row>
        <row r="1170">
          <cell r="B1170" t="str">
            <v>0006A09738</v>
          </cell>
        </row>
        <row r="1171">
          <cell r="B1171" t="str">
            <v>0006A09740</v>
          </cell>
        </row>
        <row r="1172">
          <cell r="B1172" t="str">
            <v>0006A09741</v>
          </cell>
        </row>
        <row r="1173">
          <cell r="B1173" t="str">
            <v>0006A09742</v>
          </cell>
        </row>
        <row r="1174">
          <cell r="B1174" t="str">
            <v>0006A09743</v>
          </cell>
        </row>
        <row r="1175">
          <cell r="B1175" t="str">
            <v>0006A09744</v>
          </cell>
        </row>
        <row r="1176">
          <cell r="B1176" t="str">
            <v>0006A09745</v>
          </cell>
        </row>
        <row r="1177">
          <cell r="B1177" t="str">
            <v>0006A09746</v>
          </cell>
        </row>
        <row r="1178">
          <cell r="B1178" t="str">
            <v>0006A09747</v>
          </cell>
        </row>
        <row r="1179">
          <cell r="B1179" t="str">
            <v>0006A09748</v>
          </cell>
        </row>
        <row r="1180">
          <cell r="B1180" t="str">
            <v>0006A09749</v>
          </cell>
        </row>
        <row r="1181">
          <cell r="B1181" t="str">
            <v>0006A09750</v>
          </cell>
        </row>
        <row r="1182">
          <cell r="B1182" t="str">
            <v>0006A09751</v>
          </cell>
        </row>
        <row r="1183">
          <cell r="B1183" t="str">
            <v>0006A09753</v>
          </cell>
        </row>
        <row r="1184">
          <cell r="B1184" t="str">
            <v>0006A09754</v>
          </cell>
        </row>
        <row r="1185">
          <cell r="B1185" t="str">
            <v>0006A09761</v>
          </cell>
        </row>
        <row r="1186">
          <cell r="B1186" t="str">
            <v>0006A09762</v>
          </cell>
        </row>
        <row r="1187">
          <cell r="B1187" t="str">
            <v>0006A09763</v>
          </cell>
        </row>
        <row r="1188">
          <cell r="B1188" t="str">
            <v>0006A09764</v>
          </cell>
        </row>
        <row r="1189">
          <cell r="B1189" t="str">
            <v>0006A09766</v>
          </cell>
        </row>
        <row r="1190">
          <cell r="B1190" t="str">
            <v>0006A09769</v>
          </cell>
        </row>
        <row r="1191">
          <cell r="B1191" t="str">
            <v>0006A09770</v>
          </cell>
        </row>
        <row r="1192">
          <cell r="B1192" t="str">
            <v>0006A09771</v>
          </cell>
        </row>
        <row r="1193">
          <cell r="B1193" t="str">
            <v>0006A09772</v>
          </cell>
        </row>
        <row r="1194">
          <cell r="B1194" t="str">
            <v>0006A09773</v>
          </cell>
        </row>
        <row r="1195">
          <cell r="B1195" t="str">
            <v>0006A09776</v>
          </cell>
        </row>
        <row r="1196">
          <cell r="B1196" t="str">
            <v>0006A09777</v>
          </cell>
        </row>
        <row r="1197">
          <cell r="B1197" t="str">
            <v>0006A09778</v>
          </cell>
        </row>
        <row r="1198">
          <cell r="B1198" t="str">
            <v>0006A09779</v>
          </cell>
        </row>
        <row r="1199">
          <cell r="B1199" t="str">
            <v>0006A09780</v>
          </cell>
        </row>
        <row r="1200">
          <cell r="B1200" t="str">
            <v>0006A09781</v>
          </cell>
        </row>
        <row r="1201">
          <cell r="B1201" t="str">
            <v>0006A09782</v>
          </cell>
        </row>
        <row r="1202">
          <cell r="B1202" t="str">
            <v>0006A09784</v>
          </cell>
        </row>
        <row r="1203">
          <cell r="B1203" t="str">
            <v>0006A09785</v>
          </cell>
        </row>
        <row r="1204">
          <cell r="B1204" t="str">
            <v>0006A09786</v>
          </cell>
        </row>
        <row r="1205">
          <cell r="B1205" t="str">
            <v>0006A09787</v>
          </cell>
        </row>
        <row r="1206">
          <cell r="B1206" t="str">
            <v>0006A09788</v>
          </cell>
        </row>
        <row r="1207">
          <cell r="B1207" t="str">
            <v>0006A09789</v>
          </cell>
        </row>
        <row r="1208">
          <cell r="B1208" t="str">
            <v>0006A09791</v>
          </cell>
        </row>
        <row r="1209">
          <cell r="B1209" t="str">
            <v>0006A09792</v>
          </cell>
        </row>
        <row r="1210">
          <cell r="B1210" t="str">
            <v>0006A09793</v>
          </cell>
        </row>
        <row r="1211">
          <cell r="B1211" t="str">
            <v>0006A09794</v>
          </cell>
        </row>
        <row r="1212">
          <cell r="B1212" t="str">
            <v>0006A09795</v>
          </cell>
        </row>
        <row r="1213">
          <cell r="B1213" t="str">
            <v>0006A09796</v>
          </cell>
        </row>
        <row r="1214">
          <cell r="B1214" t="str">
            <v>0006A09797</v>
          </cell>
        </row>
        <row r="1215">
          <cell r="B1215" t="str">
            <v>0006A09798</v>
          </cell>
        </row>
        <row r="1216">
          <cell r="B1216" t="str">
            <v>0006A09799</v>
          </cell>
        </row>
        <row r="1217">
          <cell r="B1217" t="str">
            <v>0006A09800</v>
          </cell>
        </row>
        <row r="1218">
          <cell r="B1218" t="str">
            <v>0006A09801</v>
          </cell>
        </row>
        <row r="1219">
          <cell r="B1219" t="str">
            <v>0006A09802</v>
          </cell>
        </row>
        <row r="1220">
          <cell r="B1220" t="str">
            <v>0006A09803</v>
          </cell>
        </row>
        <row r="1221">
          <cell r="B1221" t="str">
            <v>0006A09804</v>
          </cell>
        </row>
        <row r="1222">
          <cell r="B1222" t="str">
            <v>0006A09805</v>
          </cell>
        </row>
        <row r="1223">
          <cell r="B1223" t="str">
            <v>0006A09806</v>
          </cell>
        </row>
        <row r="1224">
          <cell r="B1224" t="str">
            <v>0006A09807</v>
          </cell>
        </row>
        <row r="1225">
          <cell r="B1225" t="str">
            <v>0006A09808</v>
          </cell>
        </row>
        <row r="1226">
          <cell r="B1226" t="str">
            <v>0006A09809</v>
          </cell>
        </row>
        <row r="1227">
          <cell r="B1227" t="str">
            <v>0006A09810</v>
          </cell>
        </row>
        <row r="1228">
          <cell r="B1228" t="str">
            <v>0006A09811</v>
          </cell>
        </row>
        <row r="1229">
          <cell r="B1229" t="str">
            <v>0006A09812</v>
          </cell>
        </row>
        <row r="1230">
          <cell r="B1230" t="str">
            <v>0006A09813</v>
          </cell>
        </row>
        <row r="1231">
          <cell r="B1231" t="str">
            <v>0006A09814</v>
          </cell>
        </row>
        <row r="1232">
          <cell r="B1232" t="str">
            <v>0006A09819</v>
          </cell>
        </row>
        <row r="1233">
          <cell r="B1233" t="str">
            <v>0006A09820</v>
          </cell>
        </row>
        <row r="1234">
          <cell r="B1234" t="str">
            <v>0006A09821</v>
          </cell>
        </row>
        <row r="1235">
          <cell r="B1235" t="str">
            <v>0006A09822</v>
          </cell>
        </row>
        <row r="1236">
          <cell r="B1236" t="str">
            <v>0006A09823</v>
          </cell>
        </row>
        <row r="1237">
          <cell r="B1237" t="str">
            <v>0006A09825</v>
          </cell>
        </row>
        <row r="1238">
          <cell r="B1238" t="str">
            <v>0006A09826</v>
          </cell>
        </row>
        <row r="1239">
          <cell r="B1239" t="str">
            <v>0006A09827</v>
          </cell>
        </row>
        <row r="1240">
          <cell r="B1240" t="str">
            <v>0006A09828</v>
          </cell>
        </row>
        <row r="1241">
          <cell r="B1241" t="str">
            <v>0006A09829</v>
          </cell>
        </row>
        <row r="1242">
          <cell r="B1242" t="str">
            <v>0006A09830</v>
          </cell>
        </row>
        <row r="1243">
          <cell r="B1243" t="str">
            <v>0006A09831</v>
          </cell>
        </row>
        <row r="1244">
          <cell r="B1244" t="str">
            <v>0006A09832</v>
          </cell>
        </row>
        <row r="1245">
          <cell r="B1245" t="str">
            <v>0006A09833</v>
          </cell>
        </row>
        <row r="1246">
          <cell r="B1246" t="str">
            <v>0006A09834</v>
          </cell>
        </row>
        <row r="1247">
          <cell r="B1247" t="str">
            <v>0006A09835</v>
          </cell>
        </row>
        <row r="1248">
          <cell r="B1248" t="str">
            <v>0006A09836</v>
          </cell>
        </row>
        <row r="1249">
          <cell r="B1249" t="str">
            <v>0006A09838</v>
          </cell>
        </row>
        <row r="1250">
          <cell r="B1250" t="str">
            <v>0006A09839</v>
          </cell>
        </row>
        <row r="1251">
          <cell r="B1251" t="str">
            <v>0006A09840</v>
          </cell>
        </row>
        <row r="1252">
          <cell r="B1252" t="str">
            <v>0006A09841</v>
          </cell>
        </row>
        <row r="1253">
          <cell r="B1253" t="str">
            <v>0006A09842</v>
          </cell>
        </row>
        <row r="1254">
          <cell r="B1254" t="str">
            <v>0006A09843</v>
          </cell>
        </row>
        <row r="1255">
          <cell r="B1255" t="str">
            <v>0006A09844</v>
          </cell>
        </row>
        <row r="1256">
          <cell r="B1256" t="str">
            <v>0006A09846</v>
          </cell>
        </row>
        <row r="1257">
          <cell r="B1257" t="str">
            <v>0006A09847</v>
          </cell>
        </row>
        <row r="1258">
          <cell r="B1258" t="str">
            <v>0006A09849</v>
          </cell>
        </row>
        <row r="1259">
          <cell r="B1259" t="str">
            <v>0006A09850</v>
          </cell>
        </row>
        <row r="1260">
          <cell r="B1260" t="str">
            <v>0006A09853</v>
          </cell>
        </row>
        <row r="1261">
          <cell r="B1261" t="str">
            <v>0006A09857</v>
          </cell>
        </row>
        <row r="1262">
          <cell r="B1262" t="str">
            <v>0006A09858</v>
          </cell>
        </row>
        <row r="1263">
          <cell r="B1263" t="str">
            <v>0006A09859</v>
          </cell>
        </row>
        <row r="1264">
          <cell r="B1264" t="str">
            <v>0006A09860</v>
          </cell>
        </row>
        <row r="1265">
          <cell r="B1265" t="str">
            <v>0006A09861</v>
          </cell>
        </row>
        <row r="1266">
          <cell r="B1266" t="str">
            <v>0006A09862</v>
          </cell>
        </row>
        <row r="1267">
          <cell r="B1267" t="str">
            <v>0006A09865</v>
          </cell>
        </row>
        <row r="1268">
          <cell r="B1268" t="str">
            <v>0006A09866</v>
          </cell>
        </row>
        <row r="1269">
          <cell r="B1269" t="str">
            <v>0006A09868</v>
          </cell>
        </row>
        <row r="1270">
          <cell r="B1270" t="str">
            <v>0006A09870</v>
          </cell>
        </row>
        <row r="1271">
          <cell r="B1271" t="str">
            <v>0006A09872</v>
          </cell>
        </row>
        <row r="1272">
          <cell r="B1272" t="str">
            <v>0006A09874</v>
          </cell>
        </row>
        <row r="1273">
          <cell r="B1273" t="str">
            <v>0006A09875</v>
          </cell>
        </row>
        <row r="1274">
          <cell r="B1274" t="str">
            <v>0006A09878</v>
          </cell>
        </row>
        <row r="1275">
          <cell r="B1275" t="str">
            <v>0006A09879</v>
          </cell>
        </row>
        <row r="1276">
          <cell r="B1276" t="str">
            <v>0006A09880</v>
          </cell>
        </row>
        <row r="1277">
          <cell r="B1277" t="str">
            <v>0006A09882</v>
          </cell>
        </row>
        <row r="1278">
          <cell r="B1278" t="str">
            <v>0006A09887</v>
          </cell>
        </row>
        <row r="1279">
          <cell r="B1279" t="str">
            <v>0006A09888</v>
          </cell>
        </row>
        <row r="1280">
          <cell r="B1280" t="str">
            <v>0006A09890</v>
          </cell>
        </row>
        <row r="1281">
          <cell r="B1281" t="str">
            <v>0006A09891</v>
          </cell>
        </row>
        <row r="1282">
          <cell r="B1282" t="str">
            <v>0006A09893</v>
          </cell>
        </row>
        <row r="1283">
          <cell r="B1283" t="str">
            <v>0006A09894</v>
          </cell>
        </row>
        <row r="1284">
          <cell r="B1284" t="str">
            <v>0006A09896</v>
          </cell>
        </row>
        <row r="1285">
          <cell r="B1285" t="str">
            <v>0006A09898</v>
          </cell>
        </row>
        <row r="1286">
          <cell r="B1286" t="str">
            <v>0006A09899</v>
          </cell>
        </row>
        <row r="1287">
          <cell r="B1287" t="str">
            <v>0006A09901</v>
          </cell>
        </row>
        <row r="1288">
          <cell r="B1288" t="str">
            <v>0006A09902</v>
          </cell>
        </row>
        <row r="1289">
          <cell r="B1289" t="str">
            <v>0006A09903</v>
          </cell>
        </row>
        <row r="1290">
          <cell r="B1290" t="str">
            <v>0006A09904</v>
          </cell>
        </row>
        <row r="1291">
          <cell r="B1291" t="str">
            <v>0006A09905</v>
          </cell>
        </row>
        <row r="1292">
          <cell r="B1292" t="str">
            <v>0006A09909</v>
          </cell>
        </row>
        <row r="1293">
          <cell r="B1293" t="str">
            <v>0006A09914</v>
          </cell>
        </row>
        <row r="1294">
          <cell r="B1294" t="str">
            <v>0006A09916</v>
          </cell>
        </row>
        <row r="1295">
          <cell r="B1295" t="str">
            <v>0006A09918</v>
          </cell>
        </row>
        <row r="1296">
          <cell r="B1296" t="str">
            <v>0006A09921</v>
          </cell>
        </row>
        <row r="1297">
          <cell r="B1297" t="str">
            <v>0006A09922</v>
          </cell>
        </row>
        <row r="1298">
          <cell r="B1298" t="str">
            <v>0006A09924</v>
          </cell>
        </row>
        <row r="1299">
          <cell r="B1299" t="str">
            <v>0006A09926</v>
          </cell>
        </row>
        <row r="1300">
          <cell r="B1300" t="str">
            <v>0006A09930</v>
          </cell>
        </row>
        <row r="1301">
          <cell r="B1301" t="str">
            <v>0006A09932</v>
          </cell>
        </row>
        <row r="1302">
          <cell r="B1302" t="str">
            <v>0006A09933</v>
          </cell>
        </row>
        <row r="1303">
          <cell r="B1303" t="str">
            <v>0006A09936</v>
          </cell>
        </row>
        <row r="1304">
          <cell r="B1304" t="str">
            <v>0006A09937</v>
          </cell>
        </row>
        <row r="1305">
          <cell r="B1305" t="str">
            <v>0006A09939</v>
          </cell>
        </row>
        <row r="1306">
          <cell r="B1306" t="str">
            <v>0006A09940</v>
          </cell>
        </row>
        <row r="1307">
          <cell r="B1307" t="str">
            <v>0006A09942</v>
          </cell>
        </row>
        <row r="1308">
          <cell r="B1308" t="str">
            <v>0006A09944</v>
          </cell>
        </row>
        <row r="1309">
          <cell r="B1309" t="str">
            <v>0006A09945</v>
          </cell>
        </row>
        <row r="1310">
          <cell r="B1310" t="str">
            <v>0006A09947</v>
          </cell>
        </row>
        <row r="1311">
          <cell r="B1311" t="str">
            <v>0006A09949</v>
          </cell>
        </row>
        <row r="1312">
          <cell r="B1312" t="str">
            <v>0006A09952</v>
          </cell>
        </row>
        <row r="1313">
          <cell r="B1313" t="str">
            <v>0006A09953</v>
          </cell>
        </row>
        <row r="1314">
          <cell r="B1314" t="str">
            <v>0006A09954</v>
          </cell>
        </row>
        <row r="1315">
          <cell r="B1315" t="str">
            <v>0006A09959</v>
          </cell>
        </row>
        <row r="1316">
          <cell r="B1316" t="str">
            <v>0006A09960</v>
          </cell>
        </row>
        <row r="1317">
          <cell r="B1317" t="str">
            <v>0006A09961</v>
          </cell>
        </row>
        <row r="1318">
          <cell r="B1318" t="str">
            <v>0006A09963</v>
          </cell>
        </row>
        <row r="1319">
          <cell r="B1319" t="str">
            <v>0007A00236</v>
          </cell>
        </row>
        <row r="1320">
          <cell r="B1320" t="str">
            <v>0007A00264</v>
          </cell>
        </row>
        <row r="1321">
          <cell r="B1321" t="str">
            <v>0007A00265</v>
          </cell>
        </row>
        <row r="1322">
          <cell r="B1322" t="str">
            <v>0007A00266</v>
          </cell>
        </row>
        <row r="1323">
          <cell r="B1323" t="str">
            <v>0007A00267</v>
          </cell>
        </row>
        <row r="1324">
          <cell r="B1324" t="str">
            <v>0007A00268</v>
          </cell>
        </row>
        <row r="1325">
          <cell r="B1325" t="str">
            <v>0007A00269</v>
          </cell>
        </row>
        <row r="1326">
          <cell r="B1326" t="str">
            <v>0007A00270</v>
          </cell>
        </row>
        <row r="1327">
          <cell r="B1327" t="str">
            <v>0007A00271</v>
          </cell>
        </row>
        <row r="1328">
          <cell r="B1328" t="str">
            <v>0007A00272</v>
          </cell>
        </row>
        <row r="1329">
          <cell r="B1329" t="str">
            <v>0007A00273</v>
          </cell>
        </row>
        <row r="1330">
          <cell r="B1330" t="str">
            <v>0007A00274</v>
          </cell>
        </row>
        <row r="1331">
          <cell r="B1331" t="str">
            <v>0007A00275</v>
          </cell>
        </row>
        <row r="1332">
          <cell r="B1332" t="str">
            <v>0007A00276</v>
          </cell>
        </row>
        <row r="1333">
          <cell r="B1333" t="str">
            <v>0007A00277</v>
          </cell>
        </row>
        <row r="1334">
          <cell r="B1334" t="str">
            <v>0007A00278</v>
          </cell>
        </row>
        <row r="1335">
          <cell r="B1335" t="str">
            <v>0007A00279</v>
          </cell>
        </row>
        <row r="1336">
          <cell r="B1336" t="str">
            <v>0007A00333</v>
          </cell>
        </row>
        <row r="1337">
          <cell r="B1337" t="str">
            <v>0007A00334</v>
          </cell>
        </row>
        <row r="1338">
          <cell r="B1338" t="str">
            <v>0007A00335</v>
          </cell>
        </row>
        <row r="1339">
          <cell r="B1339" t="str">
            <v>0007A00336</v>
          </cell>
        </row>
        <row r="1340">
          <cell r="B1340" t="str">
            <v>0007A00337</v>
          </cell>
        </row>
        <row r="1341">
          <cell r="B1341" t="str">
            <v>0007A00338</v>
          </cell>
        </row>
        <row r="1342">
          <cell r="B1342" t="str">
            <v>0007A00339</v>
          </cell>
        </row>
        <row r="1343">
          <cell r="B1343" t="str">
            <v>0007A00340</v>
          </cell>
        </row>
        <row r="1344">
          <cell r="B1344" t="str">
            <v>0007A00341</v>
          </cell>
        </row>
        <row r="1345">
          <cell r="B1345" t="str">
            <v>0007A00342</v>
          </cell>
        </row>
        <row r="1346">
          <cell r="B1346" t="str">
            <v>0007A00343</v>
          </cell>
        </row>
        <row r="1347">
          <cell r="B1347" t="str">
            <v>0007A00344</v>
          </cell>
        </row>
        <row r="1348">
          <cell r="B1348" t="str">
            <v>0007A00345</v>
          </cell>
        </row>
        <row r="1349">
          <cell r="B1349" t="str">
            <v>0007A00346</v>
          </cell>
        </row>
        <row r="1350">
          <cell r="B1350" t="str">
            <v>0007A00347</v>
          </cell>
        </row>
        <row r="1351">
          <cell r="B1351" t="str">
            <v>0007A00348</v>
          </cell>
        </row>
        <row r="1352">
          <cell r="B1352" t="str">
            <v>0007A00349</v>
          </cell>
        </row>
        <row r="1353">
          <cell r="B1353" t="str">
            <v>0007A00350</v>
          </cell>
        </row>
        <row r="1354">
          <cell r="B1354" t="str">
            <v>0007A00351</v>
          </cell>
        </row>
        <row r="1355">
          <cell r="B1355" t="str">
            <v>0007A00352</v>
          </cell>
        </row>
        <row r="1356">
          <cell r="B1356" t="str">
            <v>0007A00353</v>
          </cell>
        </row>
        <row r="1357">
          <cell r="B1357" t="str">
            <v>0007A00354</v>
          </cell>
        </row>
        <row r="1358">
          <cell r="B1358" t="str">
            <v>0007A00355</v>
          </cell>
        </row>
        <row r="1359">
          <cell r="B1359" t="str">
            <v>0007A00357</v>
          </cell>
        </row>
        <row r="1360">
          <cell r="B1360" t="str">
            <v>0007A00358</v>
          </cell>
        </row>
        <row r="1361">
          <cell r="B1361" t="str">
            <v>0007A00359</v>
          </cell>
        </row>
        <row r="1362">
          <cell r="B1362" t="str">
            <v>0007A00361</v>
          </cell>
        </row>
        <row r="1363">
          <cell r="B1363" t="str">
            <v>0007A00362</v>
          </cell>
        </row>
        <row r="1364">
          <cell r="B1364" t="str">
            <v>0007A00363</v>
          </cell>
        </row>
        <row r="1365">
          <cell r="B1365" t="str">
            <v>0007A00364</v>
          </cell>
        </row>
        <row r="1366">
          <cell r="B1366" t="str">
            <v>0007A00365</v>
          </cell>
        </row>
        <row r="1367">
          <cell r="B1367" t="str">
            <v>0007A00366</v>
          </cell>
        </row>
        <row r="1368">
          <cell r="B1368" t="str">
            <v>0007A00367</v>
          </cell>
        </row>
        <row r="1369">
          <cell r="B1369" t="str">
            <v>0007A00368</v>
          </cell>
        </row>
        <row r="1370">
          <cell r="B1370" t="str">
            <v>0007A00369</v>
          </cell>
        </row>
        <row r="1371">
          <cell r="B1371" t="str">
            <v>0007A00370</v>
          </cell>
        </row>
        <row r="1372">
          <cell r="B1372" t="str">
            <v>0007A00371</v>
          </cell>
        </row>
        <row r="1373">
          <cell r="B1373" t="str">
            <v>0007A00372</v>
          </cell>
        </row>
        <row r="1374">
          <cell r="B1374" t="str">
            <v>0007A00373</v>
          </cell>
        </row>
        <row r="1375">
          <cell r="B1375" t="str">
            <v>0007A00374</v>
          </cell>
        </row>
        <row r="1376">
          <cell r="B1376" t="str">
            <v>0007A00375</v>
          </cell>
        </row>
        <row r="1377">
          <cell r="B1377" t="str">
            <v>0007A00377</v>
          </cell>
        </row>
        <row r="1378">
          <cell r="B1378" t="str">
            <v>0007A00378</v>
          </cell>
        </row>
        <row r="1379">
          <cell r="B1379" t="str">
            <v>0007A00379</v>
          </cell>
        </row>
        <row r="1380">
          <cell r="B1380" t="str">
            <v>0007A00380</v>
          </cell>
        </row>
        <row r="1381">
          <cell r="B1381" t="str">
            <v>0007A00381</v>
          </cell>
        </row>
        <row r="1382">
          <cell r="B1382" t="str">
            <v>0007A00382</v>
          </cell>
        </row>
        <row r="1383">
          <cell r="B1383" t="str">
            <v>0007A00383</v>
          </cell>
        </row>
        <row r="1384">
          <cell r="B1384" t="str">
            <v>0007A00384</v>
          </cell>
        </row>
        <row r="1385">
          <cell r="B1385" t="str">
            <v>0007A00385</v>
          </cell>
        </row>
        <row r="1386">
          <cell r="B1386" t="str">
            <v>0007A00386</v>
          </cell>
        </row>
        <row r="1387">
          <cell r="B1387" t="str">
            <v>0007A00387</v>
          </cell>
        </row>
        <row r="1388">
          <cell r="B1388" t="str">
            <v>0007A00388</v>
          </cell>
        </row>
        <row r="1389">
          <cell r="B1389" t="str">
            <v>0007A00389</v>
          </cell>
        </row>
        <row r="1390">
          <cell r="B1390" t="str">
            <v>0007A00390</v>
          </cell>
        </row>
        <row r="1391">
          <cell r="B1391" t="str">
            <v>0007A00391</v>
          </cell>
        </row>
        <row r="1392">
          <cell r="B1392" t="str">
            <v>0007A00392</v>
          </cell>
        </row>
        <row r="1393">
          <cell r="B1393" t="str">
            <v>0007A00393</v>
          </cell>
        </row>
        <row r="1394">
          <cell r="B1394" t="str">
            <v>0007A00394</v>
          </cell>
        </row>
        <row r="1395">
          <cell r="B1395" t="str">
            <v>0007A00395</v>
          </cell>
        </row>
        <row r="1396">
          <cell r="B1396" t="str">
            <v>0007A00396</v>
          </cell>
        </row>
        <row r="1397">
          <cell r="B1397" t="str">
            <v>0007A00397</v>
          </cell>
        </row>
        <row r="1398">
          <cell r="B1398" t="str">
            <v>0007A00398</v>
          </cell>
        </row>
        <row r="1399">
          <cell r="B1399" t="str">
            <v>0007A00399</v>
          </cell>
        </row>
        <row r="1400">
          <cell r="B1400" t="str">
            <v>0007A00400</v>
          </cell>
        </row>
        <row r="1401">
          <cell r="B1401" t="str">
            <v>0007A00401</v>
          </cell>
        </row>
        <row r="1402">
          <cell r="B1402" t="str">
            <v>0007A00402</v>
          </cell>
        </row>
        <row r="1403">
          <cell r="B1403" t="str">
            <v>0007A00403</v>
          </cell>
        </row>
        <row r="1404">
          <cell r="B1404" t="str">
            <v>0007A00404</v>
          </cell>
        </row>
        <row r="1405">
          <cell r="B1405" t="str">
            <v>0007A00405</v>
          </cell>
        </row>
        <row r="1406">
          <cell r="B1406" t="str">
            <v>0007A00406</v>
          </cell>
        </row>
        <row r="1407">
          <cell r="B1407" t="str">
            <v>0007A00407</v>
          </cell>
        </row>
        <row r="1408">
          <cell r="B1408" t="str">
            <v>0007A00408</v>
          </cell>
        </row>
        <row r="1409">
          <cell r="B1409" t="str">
            <v>0007A00409</v>
          </cell>
        </row>
        <row r="1410">
          <cell r="B1410" t="str">
            <v>0007A00410</v>
          </cell>
        </row>
        <row r="1411">
          <cell r="B1411" t="str">
            <v>0007A00411</v>
          </cell>
        </row>
        <row r="1412">
          <cell r="B1412" t="str">
            <v>0007A00412</v>
          </cell>
        </row>
        <row r="1413">
          <cell r="B1413" t="str">
            <v>0007A00413</v>
          </cell>
        </row>
        <row r="1414">
          <cell r="B1414" t="str">
            <v>0007A00414</v>
          </cell>
        </row>
        <row r="1415">
          <cell r="B1415" t="str">
            <v>0007A00415</v>
          </cell>
        </row>
        <row r="1416">
          <cell r="B1416" t="str">
            <v>0007A00416</v>
          </cell>
        </row>
        <row r="1417">
          <cell r="B1417" t="str">
            <v>0007A00417</v>
          </cell>
        </row>
        <row r="1418">
          <cell r="B1418" t="str">
            <v>0007A00418</v>
          </cell>
        </row>
        <row r="1419">
          <cell r="B1419" t="str">
            <v>0007A00419</v>
          </cell>
        </row>
        <row r="1420">
          <cell r="B1420" t="str">
            <v>0007A00420</v>
          </cell>
        </row>
        <row r="1421">
          <cell r="B1421" t="str">
            <v>0007A00421</v>
          </cell>
        </row>
        <row r="1422">
          <cell r="B1422" t="str">
            <v>0007A00422</v>
          </cell>
        </row>
        <row r="1423">
          <cell r="B1423" t="str">
            <v>0007A00424</v>
          </cell>
        </row>
        <row r="1424">
          <cell r="B1424" t="str">
            <v>0007A00425</v>
          </cell>
        </row>
        <row r="1425">
          <cell r="B1425" t="str">
            <v>0007A00426</v>
          </cell>
        </row>
        <row r="1426">
          <cell r="B1426" t="str">
            <v>0007A00427</v>
          </cell>
        </row>
        <row r="1427">
          <cell r="B1427" t="str">
            <v>0007A00428</v>
          </cell>
        </row>
        <row r="1428">
          <cell r="B1428" t="str">
            <v>0007A00429</v>
          </cell>
        </row>
        <row r="1429">
          <cell r="B1429" t="str">
            <v>0007A00430</v>
          </cell>
        </row>
        <row r="1430">
          <cell r="B1430" t="str">
            <v>0007A00431</v>
          </cell>
        </row>
        <row r="1431">
          <cell r="B1431" t="str">
            <v>0007A00432</v>
          </cell>
        </row>
        <row r="1432">
          <cell r="B1432" t="str">
            <v>0007A00433</v>
          </cell>
        </row>
        <row r="1433">
          <cell r="B1433" t="str">
            <v>0007A00434</v>
          </cell>
        </row>
        <row r="1434">
          <cell r="B1434" t="str">
            <v>0007A00435</v>
          </cell>
        </row>
        <row r="1435">
          <cell r="B1435" t="str">
            <v>0007A00436</v>
          </cell>
        </row>
        <row r="1436">
          <cell r="B1436" t="str">
            <v>0007A00437</v>
          </cell>
        </row>
        <row r="1437">
          <cell r="B1437" t="str">
            <v>0007A00438</v>
          </cell>
        </row>
        <row r="1438">
          <cell r="B1438" t="str">
            <v>0007A00439</v>
          </cell>
        </row>
        <row r="1439">
          <cell r="B1439" t="str">
            <v>0007A00440</v>
          </cell>
        </row>
        <row r="1440">
          <cell r="B1440" t="str">
            <v>0007A00441</v>
          </cell>
        </row>
        <row r="1441">
          <cell r="B1441" t="str">
            <v>0007A00442</v>
          </cell>
        </row>
        <row r="1442">
          <cell r="B1442" t="str">
            <v>0007A00443</v>
          </cell>
        </row>
        <row r="1443">
          <cell r="B1443" t="str">
            <v>0007A00444</v>
          </cell>
        </row>
        <row r="1444">
          <cell r="B1444" t="str">
            <v>0007A00445</v>
          </cell>
        </row>
        <row r="1445">
          <cell r="B1445" t="str">
            <v>0007A00446</v>
          </cell>
        </row>
        <row r="1446">
          <cell r="B1446" t="str">
            <v>0007A00447</v>
          </cell>
        </row>
        <row r="1447">
          <cell r="B1447" t="str">
            <v>0007A00448</v>
          </cell>
        </row>
        <row r="1448">
          <cell r="B1448" t="str">
            <v>0007A00449</v>
          </cell>
        </row>
        <row r="1449">
          <cell r="B1449" t="str">
            <v>0007A00450</v>
          </cell>
        </row>
        <row r="1450">
          <cell r="B1450" t="str">
            <v>0007A00451</v>
          </cell>
        </row>
        <row r="1451">
          <cell r="B1451" t="str">
            <v>0007A00452</v>
          </cell>
        </row>
        <row r="1452">
          <cell r="B1452" t="str">
            <v>0007A00453</v>
          </cell>
        </row>
        <row r="1453">
          <cell r="B1453" t="str">
            <v>0007A00454</v>
          </cell>
        </row>
        <row r="1454">
          <cell r="B1454" t="str">
            <v>0007A00455</v>
          </cell>
        </row>
        <row r="1455">
          <cell r="B1455" t="str">
            <v>0007A00456</v>
          </cell>
        </row>
        <row r="1456">
          <cell r="B1456" t="str">
            <v>0007A00457</v>
          </cell>
        </row>
        <row r="1457">
          <cell r="B1457" t="str">
            <v>0007A00458</v>
          </cell>
        </row>
        <row r="1458">
          <cell r="B1458" t="str">
            <v>0007A00459</v>
          </cell>
        </row>
        <row r="1459">
          <cell r="B1459" t="str">
            <v>0007A00460</v>
          </cell>
        </row>
        <row r="1460">
          <cell r="B1460" t="str">
            <v>0007A00461</v>
          </cell>
        </row>
        <row r="1461">
          <cell r="B1461" t="str">
            <v>0007A00462</v>
          </cell>
        </row>
        <row r="1462">
          <cell r="B1462" t="str">
            <v>0007A00463</v>
          </cell>
        </row>
        <row r="1463">
          <cell r="B1463" t="str">
            <v>0007A00464</v>
          </cell>
        </row>
        <row r="1464">
          <cell r="B1464" t="str">
            <v>0007A00466</v>
          </cell>
        </row>
        <row r="1465">
          <cell r="B1465" t="str">
            <v>0007A00467</v>
          </cell>
        </row>
        <row r="1466">
          <cell r="B1466" t="str">
            <v>0007A00468</v>
          </cell>
        </row>
        <row r="1467">
          <cell r="B1467" t="str">
            <v>0007A00469</v>
          </cell>
        </row>
        <row r="1468">
          <cell r="B1468" t="str">
            <v>0007A00470</v>
          </cell>
        </row>
        <row r="1469">
          <cell r="B1469" t="str">
            <v>0007A00471</v>
          </cell>
        </row>
        <row r="1470">
          <cell r="B1470" t="str">
            <v>0007A00472</v>
          </cell>
        </row>
        <row r="1471">
          <cell r="B1471" t="str">
            <v>0007A00473</v>
          </cell>
        </row>
        <row r="1472">
          <cell r="B1472" t="str">
            <v>0007A00474</v>
          </cell>
        </row>
        <row r="1473">
          <cell r="B1473" t="str">
            <v>0007A00475</v>
          </cell>
        </row>
        <row r="1474">
          <cell r="B1474" t="str">
            <v>0007A00476</v>
          </cell>
        </row>
        <row r="1475">
          <cell r="B1475" t="str">
            <v>0007A00478</v>
          </cell>
        </row>
        <row r="1476">
          <cell r="B1476" t="str">
            <v>0007A00479</v>
          </cell>
        </row>
        <row r="1477">
          <cell r="B1477" t="str">
            <v>0007A00484</v>
          </cell>
        </row>
        <row r="1478">
          <cell r="B1478" t="str">
            <v>0007A00485</v>
          </cell>
        </row>
        <row r="1479">
          <cell r="B1479" t="str">
            <v>0007A00486</v>
          </cell>
        </row>
        <row r="1480">
          <cell r="B1480" t="str">
            <v>0007A00488</v>
          </cell>
        </row>
        <row r="1481">
          <cell r="B1481" t="str">
            <v>0007A00489</v>
          </cell>
        </row>
        <row r="1482">
          <cell r="B1482" t="str">
            <v>0007A00490</v>
          </cell>
        </row>
        <row r="1483">
          <cell r="B1483" t="str">
            <v>0007A00491</v>
          </cell>
        </row>
        <row r="1484">
          <cell r="B1484" t="str">
            <v>0007A00492</v>
          </cell>
        </row>
        <row r="1485">
          <cell r="B1485" t="str">
            <v>0007A00493</v>
          </cell>
        </row>
        <row r="1486">
          <cell r="B1486" t="str">
            <v>0007A00494</v>
          </cell>
        </row>
        <row r="1487">
          <cell r="B1487" t="str">
            <v>0007A00495</v>
          </cell>
        </row>
        <row r="1488">
          <cell r="B1488" t="str">
            <v>0007A00497</v>
          </cell>
        </row>
        <row r="1489">
          <cell r="B1489" t="str">
            <v>0007A00499</v>
          </cell>
        </row>
        <row r="1490">
          <cell r="B1490" t="str">
            <v>0007A00500</v>
          </cell>
        </row>
        <row r="1491">
          <cell r="B1491" t="str">
            <v>0007A00501</v>
          </cell>
        </row>
        <row r="1492">
          <cell r="B1492" t="str">
            <v>0007A00502</v>
          </cell>
        </row>
        <row r="1493">
          <cell r="B1493" t="str">
            <v>0007A00503</v>
          </cell>
        </row>
        <row r="1494">
          <cell r="B1494" t="str">
            <v>0007A00505</v>
          </cell>
        </row>
        <row r="1495">
          <cell r="B1495" t="str">
            <v>0007A00506</v>
          </cell>
        </row>
        <row r="1496">
          <cell r="B1496" t="str">
            <v>0007A00507</v>
          </cell>
        </row>
        <row r="1497">
          <cell r="B1497" t="str">
            <v>0007A00508</v>
          </cell>
        </row>
        <row r="1498">
          <cell r="B1498" t="str">
            <v>0007A00509</v>
          </cell>
        </row>
        <row r="1499">
          <cell r="B1499" t="str">
            <v>0007A00510</v>
          </cell>
        </row>
        <row r="1500">
          <cell r="B1500" t="str">
            <v>0007A00511</v>
          </cell>
        </row>
        <row r="1501">
          <cell r="B1501" t="str">
            <v>0007A00512</v>
          </cell>
        </row>
        <row r="1502">
          <cell r="B1502" t="str">
            <v>0007A00514</v>
          </cell>
        </row>
        <row r="1503">
          <cell r="B1503" t="str">
            <v>0007A00515</v>
          </cell>
        </row>
        <row r="1504">
          <cell r="B1504" t="str">
            <v>0007A00516</v>
          </cell>
        </row>
        <row r="1505">
          <cell r="B1505" t="str">
            <v>0007A00517</v>
          </cell>
        </row>
        <row r="1506">
          <cell r="B1506" t="str">
            <v>0007A00518</v>
          </cell>
        </row>
        <row r="1507">
          <cell r="B1507" t="str">
            <v>0007A00519</v>
          </cell>
        </row>
        <row r="1508">
          <cell r="B1508" t="str">
            <v>0007A00520</v>
          </cell>
        </row>
        <row r="1509">
          <cell r="B1509" t="str">
            <v>0007A00521</v>
          </cell>
        </row>
        <row r="1510">
          <cell r="B1510" t="str">
            <v>0007A00522</v>
          </cell>
        </row>
        <row r="1511">
          <cell r="B1511" t="str">
            <v>0007A00523</v>
          </cell>
        </row>
        <row r="1512">
          <cell r="B1512" t="str">
            <v>0007A00524</v>
          </cell>
        </row>
        <row r="1513">
          <cell r="B1513" t="str">
            <v>0007A00525</v>
          </cell>
        </row>
        <row r="1514">
          <cell r="B1514" t="str">
            <v>0007A00526</v>
          </cell>
        </row>
        <row r="1515">
          <cell r="B1515" t="str">
            <v>0007A00528</v>
          </cell>
        </row>
        <row r="1516">
          <cell r="B1516" t="str">
            <v>0007A00529</v>
          </cell>
        </row>
        <row r="1517">
          <cell r="B1517" t="str">
            <v>0007A00530</v>
          </cell>
        </row>
        <row r="1518">
          <cell r="B1518" t="str">
            <v>0007A00531</v>
          </cell>
        </row>
        <row r="1519">
          <cell r="B1519" t="str">
            <v>0007A00532</v>
          </cell>
        </row>
        <row r="1520">
          <cell r="B1520" t="str">
            <v>0007A00533</v>
          </cell>
        </row>
        <row r="1521">
          <cell r="B1521" t="str">
            <v>0007A00534</v>
          </cell>
        </row>
        <row r="1522">
          <cell r="B1522" t="str">
            <v>0007A00535</v>
          </cell>
        </row>
        <row r="1523">
          <cell r="B1523" t="str">
            <v>0007A00536</v>
          </cell>
        </row>
        <row r="1524">
          <cell r="B1524" t="str">
            <v>0007A00539</v>
          </cell>
        </row>
        <row r="1525">
          <cell r="B1525" t="str">
            <v>0007A00540</v>
          </cell>
        </row>
        <row r="1526">
          <cell r="B1526" t="str">
            <v>0007A00541</v>
          </cell>
        </row>
        <row r="1527">
          <cell r="B1527" t="str">
            <v>0007A00542</v>
          </cell>
        </row>
        <row r="1528">
          <cell r="B1528" t="str">
            <v>0007A00543</v>
          </cell>
        </row>
        <row r="1529">
          <cell r="B1529" t="str">
            <v>0007A00544</v>
          </cell>
        </row>
        <row r="1530">
          <cell r="B1530" t="str">
            <v>0007A00545</v>
          </cell>
        </row>
        <row r="1531">
          <cell r="B1531" t="str">
            <v>0007A00546</v>
          </cell>
        </row>
        <row r="1532">
          <cell r="B1532" t="str">
            <v>0007A00547</v>
          </cell>
        </row>
        <row r="1533">
          <cell r="B1533" t="str">
            <v>0007A00548</v>
          </cell>
        </row>
        <row r="1534">
          <cell r="B1534" t="str">
            <v>0007A00549</v>
          </cell>
        </row>
        <row r="1535">
          <cell r="B1535" t="str">
            <v>0007A00550</v>
          </cell>
        </row>
        <row r="1536">
          <cell r="B1536" t="str">
            <v>0007A00551</v>
          </cell>
        </row>
        <row r="1537">
          <cell r="B1537" t="str">
            <v>0007A00552</v>
          </cell>
        </row>
        <row r="1538">
          <cell r="B1538" t="str">
            <v>0007A00553</v>
          </cell>
        </row>
        <row r="1539">
          <cell r="B1539" t="str">
            <v>0007A00555</v>
          </cell>
        </row>
        <row r="1540">
          <cell r="B1540" t="str">
            <v>0007A00556</v>
          </cell>
        </row>
        <row r="1541">
          <cell r="B1541" t="str">
            <v>0007A00557</v>
          </cell>
        </row>
        <row r="1542">
          <cell r="B1542" t="str">
            <v>0007A00558</v>
          </cell>
        </row>
        <row r="1543">
          <cell r="B1543" t="str">
            <v>0007A05001</v>
          </cell>
        </row>
        <row r="1544">
          <cell r="B1544" t="str">
            <v>0007A05002</v>
          </cell>
        </row>
        <row r="1545">
          <cell r="B1545" t="str">
            <v>0007A05003</v>
          </cell>
        </row>
        <row r="1546">
          <cell r="B1546" t="str">
            <v>0007A05004</v>
          </cell>
        </row>
        <row r="1547">
          <cell r="B1547" t="str">
            <v>0007A05005</v>
          </cell>
        </row>
        <row r="1548">
          <cell r="B1548" t="str">
            <v>0007A05006</v>
          </cell>
        </row>
        <row r="1549">
          <cell r="B1549" t="str">
            <v>0007A05007</v>
          </cell>
        </row>
        <row r="1550">
          <cell r="B1550" t="str">
            <v>0007A05008</v>
          </cell>
        </row>
        <row r="1551">
          <cell r="B1551" t="str">
            <v>0007A05009</v>
          </cell>
        </row>
        <row r="1552">
          <cell r="B1552" t="str">
            <v>0007A05010</v>
          </cell>
        </row>
        <row r="1553">
          <cell r="B1553" t="str">
            <v>0007A05011</v>
          </cell>
        </row>
        <row r="1554">
          <cell r="B1554" t="str">
            <v>0007A05012</v>
          </cell>
        </row>
        <row r="1555">
          <cell r="B1555" t="str">
            <v>0007A05013</v>
          </cell>
        </row>
        <row r="1556">
          <cell r="B1556" t="str">
            <v>0007A05014</v>
          </cell>
        </row>
        <row r="1557">
          <cell r="B1557" t="str">
            <v>0007A05015</v>
          </cell>
        </row>
        <row r="1558">
          <cell r="B1558" t="str">
            <v>0007A05016</v>
          </cell>
        </row>
        <row r="1559">
          <cell r="B1559" t="str">
            <v>0007A05017</v>
          </cell>
        </row>
        <row r="1560">
          <cell r="B1560" t="str">
            <v>0007A05030</v>
          </cell>
        </row>
        <row r="1561">
          <cell r="B1561" t="str">
            <v>0007A05031</v>
          </cell>
        </row>
        <row r="1562">
          <cell r="B1562" t="str">
            <v>0007A05032</v>
          </cell>
        </row>
        <row r="1563">
          <cell r="B1563" t="str">
            <v>0007A05033</v>
          </cell>
        </row>
        <row r="1564">
          <cell r="B1564" t="str">
            <v>0007A05034</v>
          </cell>
        </row>
        <row r="1565">
          <cell r="B1565" t="str">
            <v>0007A05035</v>
          </cell>
        </row>
        <row r="1566">
          <cell r="B1566" t="str">
            <v>0007A05036</v>
          </cell>
        </row>
        <row r="1567">
          <cell r="B1567" t="str">
            <v>0007A05037</v>
          </cell>
        </row>
        <row r="1568">
          <cell r="B1568" t="str">
            <v>0007A05038</v>
          </cell>
        </row>
        <row r="1569">
          <cell r="B1569" t="str">
            <v>0007A05039</v>
          </cell>
        </row>
        <row r="1570">
          <cell r="B1570" t="str">
            <v>0007A05040</v>
          </cell>
        </row>
        <row r="1571">
          <cell r="B1571" t="str">
            <v>0007A05042</v>
          </cell>
        </row>
        <row r="1572">
          <cell r="B1572" t="str">
            <v>0007A05043</v>
          </cell>
        </row>
        <row r="1573">
          <cell r="B1573" t="str">
            <v>0007A05044</v>
          </cell>
        </row>
        <row r="1574">
          <cell r="B1574" t="str">
            <v>0007A05045</v>
          </cell>
        </row>
        <row r="1575">
          <cell r="B1575" t="str">
            <v>0007A05046</v>
          </cell>
        </row>
        <row r="1576">
          <cell r="B1576" t="str">
            <v>0007A05049</v>
          </cell>
        </row>
        <row r="1577">
          <cell r="B1577" t="str">
            <v>0007A05052</v>
          </cell>
        </row>
        <row r="1578">
          <cell r="B1578" t="str">
            <v>0007A05053</v>
          </cell>
        </row>
        <row r="1579">
          <cell r="B1579" t="str">
            <v>0007A05055</v>
          </cell>
        </row>
        <row r="1580">
          <cell r="B1580" t="str">
            <v>0007A05056</v>
          </cell>
        </row>
        <row r="1581">
          <cell r="B1581" t="str">
            <v>0007A05057</v>
          </cell>
        </row>
        <row r="1582">
          <cell r="B1582" t="str">
            <v>0007A05058</v>
          </cell>
        </row>
        <row r="1583">
          <cell r="B1583" t="str">
            <v>0007A05059</v>
          </cell>
        </row>
        <row r="1584">
          <cell r="B1584" t="str">
            <v>0007A05060</v>
          </cell>
        </row>
        <row r="1585">
          <cell r="B1585" t="str">
            <v>0007A05061</v>
          </cell>
        </row>
        <row r="1586">
          <cell r="B1586" t="str">
            <v>0007A05062</v>
          </cell>
        </row>
        <row r="1587">
          <cell r="B1587" t="str">
            <v>0007A05063</v>
          </cell>
        </row>
        <row r="1588">
          <cell r="B1588" t="str">
            <v>0007A05064</v>
          </cell>
        </row>
        <row r="1589">
          <cell r="B1589" t="str">
            <v>0007A05065</v>
          </cell>
        </row>
        <row r="1590">
          <cell r="B1590" t="str">
            <v>0007A05066</v>
          </cell>
        </row>
        <row r="1591">
          <cell r="B1591" t="str">
            <v>0007A05067</v>
          </cell>
        </row>
        <row r="1592">
          <cell r="B1592" t="str">
            <v>0007A05068</v>
          </cell>
        </row>
        <row r="1593">
          <cell r="B1593" t="str">
            <v>0007A05069</v>
          </cell>
        </row>
        <row r="1594">
          <cell r="B1594" t="str">
            <v>0007A05073</v>
          </cell>
        </row>
        <row r="1595">
          <cell r="B1595" t="str">
            <v>0007A05075</v>
          </cell>
        </row>
        <row r="1596">
          <cell r="B1596" t="str">
            <v>0007A05076</v>
          </cell>
        </row>
        <row r="1597">
          <cell r="B1597" t="str">
            <v>0007A05077</v>
          </cell>
        </row>
        <row r="1598">
          <cell r="B1598" t="str">
            <v>0007A05078</v>
          </cell>
        </row>
        <row r="1599">
          <cell r="B1599" t="str">
            <v>0007A05081</v>
          </cell>
        </row>
        <row r="1600">
          <cell r="B1600" t="str">
            <v>0007A05082</v>
          </cell>
        </row>
        <row r="1601">
          <cell r="B1601" t="str">
            <v>0007A05083</v>
          </cell>
        </row>
        <row r="1602">
          <cell r="B1602" t="str">
            <v>0007A05085</v>
          </cell>
        </row>
        <row r="1603">
          <cell r="B1603" t="str">
            <v>0007A05086</v>
          </cell>
        </row>
        <row r="1604">
          <cell r="B1604" t="str">
            <v>0007A05088</v>
          </cell>
        </row>
        <row r="1605">
          <cell r="B1605" t="str">
            <v>0007A05089</v>
          </cell>
        </row>
        <row r="1606">
          <cell r="B1606" t="str">
            <v>0007A05092</v>
          </cell>
        </row>
        <row r="1607">
          <cell r="B1607" t="str">
            <v>0007A05096</v>
          </cell>
        </row>
        <row r="1608">
          <cell r="B1608" t="str">
            <v>0007A05099</v>
          </cell>
        </row>
        <row r="1609">
          <cell r="B1609" t="str">
            <v>0007A05102</v>
          </cell>
        </row>
        <row r="1610">
          <cell r="B1610" t="str">
            <v>0007A05103</v>
          </cell>
        </row>
        <row r="1611">
          <cell r="B1611" t="str">
            <v>0007A05107</v>
          </cell>
        </row>
        <row r="1612">
          <cell r="B1612" t="str">
            <v>0007A05108</v>
          </cell>
        </row>
        <row r="1613">
          <cell r="B1613" t="str">
            <v>0007A05113</v>
          </cell>
        </row>
        <row r="1614">
          <cell r="B1614" t="str">
            <v>0007A05115</v>
          </cell>
        </row>
        <row r="1615">
          <cell r="B1615" t="str">
            <v>0007A05116</v>
          </cell>
        </row>
        <row r="1616">
          <cell r="B1616" t="str">
            <v>0007A05117</v>
          </cell>
        </row>
        <row r="1617">
          <cell r="B1617" t="str">
            <v>0007A05119</v>
          </cell>
        </row>
        <row r="1618">
          <cell r="B1618" t="str">
            <v>0007A05120</v>
          </cell>
        </row>
        <row r="1619">
          <cell r="B1619" t="str">
            <v>0007A05121</v>
          </cell>
        </row>
        <row r="1620">
          <cell r="B1620" t="str">
            <v>0007A05122</v>
          </cell>
        </row>
        <row r="1621">
          <cell r="B1621" t="str">
            <v>0007A05123</v>
          </cell>
        </row>
        <row r="1622">
          <cell r="B1622" t="str">
            <v>0007A05125</v>
          </cell>
        </row>
        <row r="1623">
          <cell r="B1623" t="str">
            <v>0007A05126</v>
          </cell>
        </row>
        <row r="1624">
          <cell r="B1624" t="str">
            <v>0007A05132</v>
          </cell>
        </row>
        <row r="1625">
          <cell r="B1625" t="str">
            <v>0007A05133</v>
          </cell>
        </row>
        <row r="1626">
          <cell r="B1626" t="str">
            <v>0007A05138</v>
          </cell>
        </row>
        <row r="1627">
          <cell r="B1627" t="str">
            <v>0007A05140</v>
          </cell>
        </row>
        <row r="1628">
          <cell r="B1628" t="str">
            <v>0007A05141</v>
          </cell>
        </row>
        <row r="1629">
          <cell r="B1629" t="str">
            <v>0007A05142</v>
          </cell>
        </row>
        <row r="1630">
          <cell r="B1630" t="str">
            <v>0007A05143</v>
          </cell>
        </row>
        <row r="1631">
          <cell r="B1631" t="str">
            <v>0007A05144</v>
          </cell>
        </row>
        <row r="1632">
          <cell r="B1632" t="str">
            <v>0007A05145</v>
          </cell>
        </row>
        <row r="1633">
          <cell r="B1633" t="str">
            <v>0007A05146</v>
          </cell>
        </row>
        <row r="1634">
          <cell r="B1634" t="str">
            <v>0007A05147</v>
          </cell>
        </row>
        <row r="1635">
          <cell r="B1635" t="str">
            <v>0007A05148</v>
          </cell>
        </row>
        <row r="1636">
          <cell r="B1636" t="str">
            <v>0007A05149</v>
          </cell>
        </row>
        <row r="1637">
          <cell r="B1637" t="str">
            <v>0007A05150</v>
          </cell>
        </row>
        <row r="1638">
          <cell r="B1638" t="str">
            <v>0007A05151</v>
          </cell>
        </row>
        <row r="1639">
          <cell r="B1639" t="str">
            <v>0007A05154</v>
          </cell>
        </row>
        <row r="1640">
          <cell r="B1640" t="str">
            <v>0007A05155</v>
          </cell>
        </row>
        <row r="1641">
          <cell r="B1641" t="str">
            <v>0007A05156</v>
          </cell>
        </row>
        <row r="1642">
          <cell r="B1642" t="str">
            <v>0007A05157</v>
          </cell>
        </row>
        <row r="1643">
          <cell r="B1643" t="str">
            <v>0007A05158</v>
          </cell>
        </row>
        <row r="1644">
          <cell r="B1644" t="str">
            <v>0007A05159</v>
          </cell>
        </row>
        <row r="1645">
          <cell r="B1645" t="str">
            <v>0007A05160</v>
          </cell>
        </row>
        <row r="1646">
          <cell r="B1646" t="str">
            <v>0007A05161</v>
          </cell>
        </row>
        <row r="1647">
          <cell r="B1647" t="str">
            <v>0007A05162</v>
          </cell>
        </row>
        <row r="1648">
          <cell r="B1648" t="str">
            <v>0007A05163</v>
          </cell>
        </row>
        <row r="1649">
          <cell r="B1649" t="str">
            <v>0007A05164</v>
          </cell>
        </row>
        <row r="1650">
          <cell r="B1650" t="str">
            <v>0007A05166</v>
          </cell>
        </row>
        <row r="1651">
          <cell r="B1651" t="str">
            <v>0007A05167</v>
          </cell>
        </row>
        <row r="1652">
          <cell r="B1652" t="str">
            <v>0007A05170</v>
          </cell>
        </row>
        <row r="1653">
          <cell r="B1653" t="str">
            <v>0007A05171</v>
          </cell>
        </row>
        <row r="1654">
          <cell r="B1654" t="str">
            <v>0007A05172</v>
          </cell>
        </row>
        <row r="1655">
          <cell r="B1655" t="str">
            <v>0007A05173</v>
          </cell>
        </row>
        <row r="1656">
          <cell r="B1656" t="str">
            <v>0007A05174</v>
          </cell>
        </row>
        <row r="1657">
          <cell r="B1657" t="str">
            <v>0007A05175</v>
          </cell>
        </row>
        <row r="1658">
          <cell r="B1658" t="str">
            <v>0007A05176</v>
          </cell>
        </row>
        <row r="1659">
          <cell r="B1659" t="str">
            <v>0007A05177</v>
          </cell>
        </row>
        <row r="1660">
          <cell r="B1660" t="str">
            <v>0007A05178</v>
          </cell>
        </row>
        <row r="1661">
          <cell r="B1661" t="str">
            <v>0007A05179</v>
          </cell>
        </row>
        <row r="1662">
          <cell r="B1662" t="str">
            <v>0007A05180</v>
          </cell>
        </row>
        <row r="1663">
          <cell r="B1663" t="str">
            <v>0007A05181</v>
          </cell>
        </row>
        <row r="1664">
          <cell r="B1664" t="str">
            <v>0007A05182</v>
          </cell>
        </row>
        <row r="1665">
          <cell r="B1665" t="str">
            <v>0007A05183</v>
          </cell>
        </row>
        <row r="1666">
          <cell r="B1666" t="str">
            <v>0007A05184</v>
          </cell>
        </row>
        <row r="1667">
          <cell r="B1667" t="str">
            <v>0007A05185</v>
          </cell>
        </row>
        <row r="1668">
          <cell r="B1668" t="str">
            <v>0007A05186</v>
          </cell>
        </row>
        <row r="1669">
          <cell r="B1669" t="str">
            <v>0007A05187</v>
          </cell>
        </row>
        <row r="1670">
          <cell r="B1670" t="str">
            <v>0007A05188</v>
          </cell>
        </row>
        <row r="1671">
          <cell r="B1671" t="str">
            <v>0007A05189</v>
          </cell>
        </row>
        <row r="1672">
          <cell r="B1672" t="str">
            <v>0007A05190</v>
          </cell>
        </row>
        <row r="1673">
          <cell r="B1673" t="str">
            <v>0007A05193</v>
          </cell>
        </row>
        <row r="1674">
          <cell r="B1674" t="str">
            <v>0007A05194</v>
          </cell>
        </row>
        <row r="1675">
          <cell r="B1675" t="str">
            <v>0007A05195</v>
          </cell>
        </row>
        <row r="1676">
          <cell r="B1676" t="str">
            <v>0007A05196</v>
          </cell>
        </row>
        <row r="1677">
          <cell r="B1677" t="str">
            <v>0007A05199</v>
          </cell>
        </row>
        <row r="1678">
          <cell r="B1678" t="str">
            <v>0007A05201</v>
          </cell>
        </row>
        <row r="1679">
          <cell r="B1679" t="str">
            <v>0007A05202</v>
          </cell>
        </row>
        <row r="1680">
          <cell r="B1680" t="str">
            <v>0007A05203</v>
          </cell>
        </row>
        <row r="1681">
          <cell r="B1681" t="str">
            <v>0007A05204</v>
          </cell>
        </row>
        <row r="1682">
          <cell r="B1682" t="str">
            <v>0007A05205</v>
          </cell>
        </row>
        <row r="1683">
          <cell r="B1683" t="str">
            <v>0007A05206</v>
          </cell>
        </row>
        <row r="1684">
          <cell r="B1684" t="str">
            <v>0007A05207</v>
          </cell>
        </row>
        <row r="1685">
          <cell r="B1685" t="str">
            <v>0007A05208</v>
          </cell>
        </row>
        <row r="1686">
          <cell r="B1686" t="str">
            <v>0007A05209</v>
          </cell>
        </row>
        <row r="1687">
          <cell r="B1687" t="str">
            <v>0007A05210</v>
          </cell>
        </row>
        <row r="1688">
          <cell r="B1688" t="str">
            <v>0007A05211</v>
          </cell>
        </row>
        <row r="1689">
          <cell r="B1689" t="str">
            <v>0007A05212</v>
          </cell>
        </row>
        <row r="1690">
          <cell r="B1690" t="str">
            <v>0007A05213</v>
          </cell>
        </row>
        <row r="1691">
          <cell r="B1691" t="str">
            <v>0007A05214</v>
          </cell>
        </row>
        <row r="1692">
          <cell r="B1692" t="str">
            <v>0007A05215</v>
          </cell>
        </row>
        <row r="1693">
          <cell r="B1693" t="str">
            <v>0007A05216</v>
          </cell>
        </row>
        <row r="1694">
          <cell r="B1694" t="str">
            <v>0007A05217</v>
          </cell>
        </row>
        <row r="1695">
          <cell r="B1695" t="str">
            <v>0007A05220</v>
          </cell>
        </row>
        <row r="1696">
          <cell r="B1696" t="str">
            <v>0007A05221</v>
          </cell>
        </row>
        <row r="1697">
          <cell r="B1697" t="str">
            <v>0007A05222</v>
          </cell>
        </row>
        <row r="1698">
          <cell r="B1698" t="str">
            <v>0007A05223</v>
          </cell>
        </row>
        <row r="1699">
          <cell r="B1699" t="str">
            <v>0007A05224</v>
          </cell>
        </row>
        <row r="1700">
          <cell r="B1700" t="str">
            <v>0007A05225</v>
          </cell>
        </row>
        <row r="1701">
          <cell r="B1701" t="str">
            <v>0007A05226</v>
          </cell>
        </row>
        <row r="1702">
          <cell r="B1702" t="str">
            <v>0007A05227</v>
          </cell>
        </row>
        <row r="1703">
          <cell r="B1703" t="str">
            <v>0007A05228</v>
          </cell>
        </row>
        <row r="1704">
          <cell r="B1704" t="str">
            <v>0007A05229</v>
          </cell>
        </row>
        <row r="1705">
          <cell r="B1705" t="str">
            <v>0007A05230</v>
          </cell>
        </row>
        <row r="1706">
          <cell r="B1706" t="str">
            <v>0007A05231</v>
          </cell>
        </row>
        <row r="1707">
          <cell r="B1707" t="str">
            <v>0007A05232</v>
          </cell>
        </row>
        <row r="1708">
          <cell r="B1708" t="str">
            <v>0007A05233</v>
          </cell>
        </row>
        <row r="1709">
          <cell r="B1709" t="str">
            <v>0007A05234</v>
          </cell>
        </row>
        <row r="1710">
          <cell r="B1710" t="str">
            <v>0007A05235</v>
          </cell>
        </row>
        <row r="1711">
          <cell r="B1711" t="str">
            <v>0007A05236</v>
          </cell>
        </row>
        <row r="1712">
          <cell r="B1712" t="str">
            <v>0007A05237</v>
          </cell>
        </row>
        <row r="1713">
          <cell r="B1713" t="str">
            <v>0007A05238</v>
          </cell>
        </row>
        <row r="1714">
          <cell r="B1714" t="str">
            <v>0007A05239</v>
          </cell>
        </row>
        <row r="1715">
          <cell r="B1715" t="str">
            <v>0007A05240</v>
          </cell>
        </row>
        <row r="1716">
          <cell r="B1716" t="str">
            <v>0007A05241</v>
          </cell>
        </row>
        <row r="1717">
          <cell r="B1717" t="str">
            <v>0007A05242</v>
          </cell>
        </row>
        <row r="1718">
          <cell r="B1718" t="str">
            <v>0007A05243</v>
          </cell>
        </row>
        <row r="1719">
          <cell r="B1719" t="str">
            <v>0007A05244</v>
          </cell>
        </row>
        <row r="1720">
          <cell r="B1720" t="str">
            <v>0007A05245</v>
          </cell>
        </row>
        <row r="1721">
          <cell r="B1721" t="str">
            <v>0007A05246</v>
          </cell>
        </row>
        <row r="1722">
          <cell r="B1722" t="str">
            <v>0007A05247</v>
          </cell>
        </row>
        <row r="1723">
          <cell r="B1723" t="str">
            <v>0007A05248</v>
          </cell>
        </row>
        <row r="1724">
          <cell r="B1724" t="str">
            <v>0007A05249</v>
          </cell>
        </row>
        <row r="1725">
          <cell r="B1725" t="str">
            <v>0007A05250</v>
          </cell>
        </row>
        <row r="1726">
          <cell r="B1726" t="str">
            <v>0007A05251</v>
          </cell>
        </row>
        <row r="1727">
          <cell r="B1727" t="str">
            <v>0007A05252</v>
          </cell>
        </row>
        <row r="1728">
          <cell r="B1728" t="str">
            <v>0007A05253</v>
          </cell>
        </row>
        <row r="1729">
          <cell r="B1729" t="str">
            <v>0007A05254</v>
          </cell>
        </row>
        <row r="1730">
          <cell r="B1730" t="str">
            <v>0007A05255</v>
          </cell>
        </row>
        <row r="1731">
          <cell r="B1731" t="str">
            <v>0007A05256</v>
          </cell>
        </row>
        <row r="1732">
          <cell r="B1732" t="str">
            <v>0007A05257</v>
          </cell>
        </row>
        <row r="1733">
          <cell r="B1733" t="str">
            <v>0007A05258</v>
          </cell>
        </row>
        <row r="1734">
          <cell r="B1734" t="str">
            <v>0007A05259</v>
          </cell>
        </row>
        <row r="1735">
          <cell r="B1735" t="str">
            <v>0007A05260</v>
          </cell>
        </row>
        <row r="1736">
          <cell r="B1736" t="str">
            <v>0007A05261</v>
          </cell>
        </row>
        <row r="1737">
          <cell r="B1737" t="str">
            <v>0007A05262</v>
          </cell>
        </row>
        <row r="1738">
          <cell r="B1738" t="str">
            <v>0007A05264</v>
          </cell>
        </row>
        <row r="1739">
          <cell r="B1739" t="str">
            <v>0007A05265</v>
          </cell>
        </row>
        <row r="1740">
          <cell r="B1740" t="str">
            <v>0007A05266</v>
          </cell>
        </row>
        <row r="1741">
          <cell r="B1741" t="str">
            <v>0007A05274</v>
          </cell>
        </row>
        <row r="1742">
          <cell r="B1742" t="str">
            <v>0007A05275</v>
          </cell>
        </row>
        <row r="1743">
          <cell r="B1743" t="str">
            <v>0007A05276</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lts_"/>
    </sheetNames>
    <sheetDataSet>
      <sheetData sheetId="0"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tthias Seebauer" refreshedDate="44040.703004629628" createdVersion="3" refreshedVersion="6" minRefreshableVersion="3" recordCount="3" xr:uid="{00000000-000A-0000-FFFF-FFFF0B000000}">
  <cacheSource type="worksheet">
    <worksheetSource name="inventory_data_tbl"/>
  </cacheSource>
  <cacheFields count="29">
    <cacheField name="conc" numFmtId="0">
      <sharedItems count="3">
        <s v="Private forest-Andira retusa"/>
        <s v="Industrial Forest-Andira parviflora"/>
        <s v="Plantation forest-Aniba amazonica"/>
      </sharedItems>
    </cacheField>
    <cacheField name="Year" numFmtId="0">
      <sharedItems containsSemiMixedTypes="0" containsString="0" containsNumber="1" containsInteger="1" minValue="2006" maxValue="2017" count="10">
        <n v="2015"/>
        <n v="2014" u="1"/>
        <n v="2010" u="1"/>
        <n v="2006" u="1"/>
        <n v="2007" u="1"/>
        <n v="2016" u="1"/>
        <n v="2012" u="1"/>
        <n v="2008" u="1"/>
        <n v="2017" u="1"/>
        <n v="2013" u="1"/>
      </sharedItems>
    </cacheField>
    <cacheField name="Stratum" numFmtId="0">
      <sharedItems containsMixedTypes="1" containsNumber="1" containsInteger="1" minValue="1" maxValue="17" count="20">
        <s v="Private forest"/>
        <s v="Industrial Forest"/>
        <s v="Plantation forest"/>
        <n v="13" u="1"/>
        <n v="5" u="1"/>
        <n v="14" u="1"/>
        <n v="15" u="1"/>
        <n v="2" u="1"/>
        <n v="6" u="1"/>
        <n v="16" u="1"/>
        <n v="17" u="1"/>
        <n v="7" u="1"/>
        <n v="1" u="1"/>
        <n v="3" u="1"/>
        <n v="8" u="1"/>
        <n v="9" u="1"/>
        <n v="10" u="1"/>
        <n v="11" u="1"/>
        <n v="4" u="1"/>
        <n v="12" u="1"/>
      </sharedItems>
    </cacheField>
    <cacheField name="Species" numFmtId="0">
      <sharedItems containsBlank="1" count="55">
        <s v="Andira retusa"/>
        <s v="Andira parviflora"/>
        <s v="Aniba amazonica"/>
        <m u="1"/>
        <s v="BRRICHE   " u="1"/>
        <s v="SAB1VULS  " u="1"/>
        <s v="ALCTFNCR03" u="1"/>
        <s v="EM3SUBHYDR" u="1"/>
        <s v="EM3SUBHYDM" u="1"/>
        <s v="BRNUL     " u="1"/>
        <s v="MEPNPEUR1E" u="1"/>
        <s v="BRFAIBLE  " u="1"/>
        <s v="acer campestre" u="1"/>
        <s v="MEPNBOPR1E" u="1"/>
        <s v="CPPTMSEPM " u="1"/>
        <s v="Chinese Fir" u="1"/>
        <s v="MEPNRPEU3I" u="1"/>
        <s v="ALCTFNCR46" u="1"/>
        <s v="MEPNRPEU2I" u="1"/>
        <s v="SAB2VULS  " u="1"/>
        <s v="Juglans nigra" u="1"/>
        <s v="EM6INT    " u="1"/>
        <s v="MPIGRBOP5E" u="1"/>
        <s v="EM7INT    " u="1"/>
        <s v="EM2MIN    " u="1"/>
        <s v="EM4HYD    " u="1"/>
        <s v="MPIGRPEU3I" u="1"/>
        <s v="PIG3EXT   " u="1"/>
        <s v="MPIGRPEU2I" u="1"/>
        <s v="ALCTFNCR79" u="1"/>
        <s v="PIG4INT   " u="1"/>
        <s v="EM1PROT   " u="1"/>
        <s v="EM5EXT    " u="1"/>
        <s v="PIG2MIN   " u="1"/>
        <s v="CPHRSSEM  " u="1"/>
        <s v="MEPNRPEU5E" u="1"/>
        <s v="MEPNRPEU1E" u="1"/>
        <s v="PEU1EXT   " u="1"/>
        <s v="MPIGRPEU5E" u="1"/>
        <s v="MEPNPEUR2I" u="1"/>
        <s v="BOP1EXT   " u="1"/>
        <s v="MPIGRPEU1E" u="1"/>
        <s v="MEPNBOPR2I" u="1"/>
        <s v="MPIGPEUR2I" u="1"/>
        <s v="MEPNRBOP3I" u="1"/>
        <s v="PEU2INT   " u="1"/>
        <s v="INEX      " u="1"/>
        <s v="MEPNRBOP2I" u="1"/>
        <s v="BOP2INT   " u="1"/>
        <s v="CPHRSINEX " u="1"/>
        <s v="PLEEINT   " u="1"/>
        <s v="PLEEEXT   " u="1"/>
        <s v="SAB3VULI  " u="1"/>
        <s v="PLPIGINT  " u="1"/>
        <s v="PIG1PROT  " u="1"/>
      </sharedItems>
    </cacheField>
    <cacheField name="Standing volume (m³/ha)" numFmtId="167">
      <sharedItems containsSemiMixedTypes="0" containsString="0" containsNumber="1" containsInteger="1" minValue="25" maxValue="100"/>
    </cacheField>
    <cacheField name="Column1" numFmtId="0">
      <sharedItems containsNonDate="0" containsString="0" containsBlank="1"/>
    </cacheField>
    <cacheField name="Age at year of inventory " numFmtId="0">
      <sharedItems containsSemiMixedTypes="0" containsString="0" containsNumber="1" containsInteger="1" minValue="5" maxValue="20"/>
    </cacheField>
    <cacheField name="Column2" numFmtId="0">
      <sharedItems containsNonDate="0" containsString="0" containsBlank="1"/>
    </cacheField>
    <cacheField name="Column3" numFmtId="0">
      <sharedItems containsNonDate="0" containsString="0" containsBlank="1"/>
    </cacheField>
    <cacheField name="Column4" numFmtId="0">
      <sharedItems containsNonDate="0" containsString="0" containsBlank="1"/>
    </cacheField>
    <cacheField name="Column5" numFmtId="0">
      <sharedItems containsNonDate="0" containsString="0" containsBlank="1"/>
    </cacheField>
    <cacheField name="Column6" numFmtId="0">
      <sharedItems containsNonDate="0" containsString="0" containsBlank="1"/>
    </cacheField>
    <cacheField name="," numFmtId="0">
      <sharedItems containsNonDate="0" containsString="0" containsBlank="1"/>
    </cacheField>
    <cacheField name="Stratum area (ha)" numFmtId="0">
      <sharedItems containsSemiMixedTypes="0" containsString="0" containsNumber="1" minValue="0" maxValue="18475.722803000001" count="1755">
        <n v="200"/>
        <n v="100"/>
        <n v="0" u="1"/>
        <n v="119.94099300000001" u="1"/>
        <n v="643.40705100000002" u="1"/>
        <n v="41.289472000000004" u="1"/>
        <n v="61.468364999999999" u="1"/>
        <n v="0.39443" u="1"/>
        <n v="950.953709" u="1"/>
        <n v="715.61797999999999" u="1"/>
        <n v="145.828653" u="1"/>
        <n v="179.26485199999999" u="1"/>
        <n v="12.461607305172663" u="1"/>
        <n v="97.841061999999994" u="1"/>
        <n v="331.47429599999998" u="1"/>
        <n v="12.027168" u="1"/>
        <n v="51.634532" u="1"/>
        <n v="46.073677000000004" u="1"/>
        <n v="235.605424" u="1"/>
        <n v="1.496902" u="1"/>
        <n v="113.51018000000001" u="1"/>
        <n v="255.88120799999999" u="1"/>
        <n v="64.762550000000005" u="1"/>
        <n v="147.685902" u="1"/>
        <n v="1999.5954750000001" u="1"/>
        <n v="15.206322" u="1"/>
        <n v="26.148479999999999" u="1"/>
        <n v="59.856538" u="1"/>
        <n v="904.23558600000001" u="1"/>
        <n v="28.999770999999999" u="1"/>
        <n v="74.969459000000001" u="1"/>
        <n v="94.070077999999995" u="1"/>
        <n v="39.866542000000003" u="1"/>
        <n v="120.26689" u="1"/>
        <n v="827.0097332591522" u="1"/>
        <n v="108.991879" u="1"/>
        <n v="29.086452999999999" u="1"/>
        <n v="42.982177999999998" u="1"/>
        <n v="181.912476" u="1"/>
        <n v="10.536144" u="1"/>
        <n v="137.48011700000001" u="1"/>
        <n v="163.92204899999999" u="1"/>
        <n v="2058.7365730000001" u="1"/>
        <n v="104.649356" u="1"/>
        <n v="1484.4962479999999" u="1"/>
        <n v="3.5290029999999999" u="1"/>
        <n v="224.62064799999999" u="1"/>
        <n v="161.957078" u="1"/>
        <n v="19.721450000000001" u="1"/>
        <n v="10.549618000000001" u="1"/>
        <n v="226.10417699999999" u="1"/>
        <n v="346.86017500000003" u="1"/>
        <n v="145.54422500000001" u="1"/>
        <n v="1069.4080429999999" u="1"/>
        <n v="22.264737" u="1"/>
        <n v="73.706237999999999" u="1"/>
        <n v="130.93533300000001" u="1"/>
        <n v="133.58771999999999" u="1"/>
        <n v="344.07160699999997" u="1"/>
        <n v="1403.361447" u="1"/>
        <n v="7.1142329999999996" u="1"/>
        <n v="17.003291999999998" u="1"/>
        <n v="5033.1506870000003" u="1"/>
        <n v="102.129938" u="1"/>
        <n v="6.7841060000000004" u="1"/>
        <n v="1.6113569999999999" u="1"/>
        <n v="110.425679" u="1"/>
        <n v="145.99232900000001" u="1"/>
        <n v="53.207625" u="1"/>
        <n v="124.86811299999999" u="1"/>
        <n v="186.56077300000001" u="1"/>
        <n v="10.504886000000001" u="1"/>
        <n v="77.559025000000005" u="1"/>
        <n v="749.478207" u="1"/>
        <n v="37.382438" u="1"/>
        <n v="736.26741100000004" u="1"/>
        <n v="1461.902499" u="1"/>
        <n v="130.739374" u="1"/>
        <n v="289.184843" u="1"/>
        <n v="8.9851890000000001" u="1"/>
        <n v="27.920210000000001" u="1"/>
        <n v="1021.98923" u="1"/>
        <n v="24.663522" u="1"/>
        <n v="434.910708" u="1"/>
        <n v="38.281314999999999" u="1"/>
        <n v="111.142759" u="1"/>
        <n v="507.60314290223363" u="1"/>
        <n v="65.225671000000006" u="1"/>
        <n v="11.564838" u="1"/>
        <n v="23.306073999999999" u="1"/>
        <n v="1.9272" u="1"/>
        <n v="11.126222" u="1"/>
        <n v="311.47189500000002" u="1"/>
        <n v="0.60271799999999998" u="1"/>
        <n v="34.355795000000001" u="1"/>
        <n v="158.75452100000001" u="1"/>
        <n v="238.73828" u="1"/>
        <n v="287.74864200000002" u="1"/>
        <n v="0.16697899999999999" u="1"/>
        <n v="0.22966200000000001" u="1"/>
        <n v="110.205539" u="1"/>
        <n v="221.93201300000001" u="1"/>
        <n v="15.347205000000001" u="1"/>
        <n v="290.73058400000002" u="1"/>
        <n v="312.05509899999998" u="1"/>
        <n v="1241.7030569999999" u="1"/>
        <n v="123.806583" u="1"/>
        <n v="65.651060999999999" u="1"/>
        <n v="95.420074999999997" u="1"/>
        <n v="833.69322199999897" u="1"/>
        <n v="3.1344259999999999" u="1"/>
        <n v="1956.5673850000001" u="1"/>
        <n v="3.9327230000000002" u="1"/>
        <n v="118.253848" u="1"/>
        <n v="162.69989100000001" u="1"/>
        <n v="9.0606399999999994" u="1"/>
        <n v="59.437818999999998" u="1"/>
        <n v="34.438662000000001" u="1"/>
        <n v="26.607793000000001" u="1"/>
        <n v="204.794209" u="1"/>
        <n v="3.7389950000000001" u="1"/>
        <n v="104.40745200000001" u="1"/>
        <n v="74.078507999999999" u="1"/>
        <n v="121.173542" u="1"/>
        <n v="725.83178399999997" u="1"/>
        <n v="120.114493" u="1"/>
        <n v="222.364676" u="1"/>
        <n v="64.938124999999999" u="1"/>
        <n v="166.47932499999999" u="1"/>
        <n v="3.4031229999999999" u="1"/>
        <n v="15.154453" u="1"/>
        <n v="46.368881999999999" u="1"/>
        <n v="30.389479000000001" u="1"/>
        <n v="1911.7725720000001" u="1"/>
        <n v="0.15149000000000001" u="1"/>
        <n v="16.969573" u="1"/>
        <n v="21.413014" u="1"/>
        <n v="413.63545800000003" u="1"/>
        <n v="718.98771499999998" u="1"/>
        <n v="43.364787999999997" u="1"/>
        <n v="817.34309199999996" u="1"/>
        <n v="26.37058" u="1"/>
        <n v="15.291121" u="1"/>
        <n v="186.626138" u="1"/>
        <n v="583.920569" u="1"/>
        <n v="215.750968" u="1"/>
        <n v="320.40888799999999" u="1"/>
        <n v="47.915287999999997" u="1"/>
        <n v="939.63524900000004" u="1"/>
        <n v="3146.1803239999999" u="1"/>
        <n v="9.1318230000000007" u="1"/>
        <n v="72.085026999999997" u="1"/>
        <n v="114.144291" u="1"/>
        <n v="679.31429200000002" u="1"/>
        <n v="293.33472699999999" u="1"/>
        <n v="345.736559" u="1"/>
        <n v="1433.847385" u="1"/>
        <n v="21.603757000000002" u="1"/>
        <n v="49.945453999999998" u="1"/>
        <n v="3389.8733189999998" u="1"/>
        <n v="374.93234200000001" u="1"/>
        <n v="29.283605999999999" u="1"/>
        <n v="132.54610400000001" u="1"/>
        <n v="400.47650199999998" u="1"/>
        <n v="95.390342000000004" u="1"/>
        <n v="1388.7458650000001" u="1"/>
        <n v="1886.263766" u="1"/>
        <n v="95.019966999999994" u="1"/>
        <n v="1564.6826040000001" u="1"/>
        <n v="95.589100999999999" u="1"/>
        <n v="6.1910920000000003" u="1"/>
        <n v="19.468843" u="1"/>
        <n v="0.54371700000000001" u="1"/>
        <n v="28.550189" u="1"/>
        <n v="1.641926" u="1"/>
        <n v="43.362287000000002" u="1"/>
        <n v="38.091757000000001" u="1"/>
        <n v="3.3203480000000001" u="1"/>
        <n v="362.25977699999999" u="1"/>
        <n v="67.450675000000004" u="1"/>
        <n v="313.614867" u="1"/>
        <n v="195.21707000000001" u="1"/>
        <n v="18.922657999999998" u="1"/>
        <n v="302.465464" u="1"/>
        <n v="50.818176999999999" u="1"/>
        <n v="652.02183400000001" u="1"/>
        <n v="19.729437999999998" u="1"/>
        <n v="75.443388999999996" u="1"/>
        <n v="39.131819" u="1"/>
        <n v="277.33135299999998" u="1"/>
        <n v="13.586816000000001" u="1"/>
        <n v="39.994456999999997" u="1"/>
        <n v="4.9626159999999997" u="1"/>
        <n v="25.164795999999999" u="1"/>
        <n v="310.292034" u="1"/>
        <n v="20.147950999999999" u="1"/>
        <n v="29.863468000000001" u="1"/>
        <n v="1122.8119710000001" u="1"/>
        <n v="7.4292660000000001" u="1"/>
        <n v="773.20502799999997" u="1"/>
        <n v="241.752365" u="1"/>
        <n v="109.643117" u="1"/>
        <n v="156.11022399999999" u="1"/>
        <n v="428.83153099999998" u="1"/>
        <n v="986.57258899999999" u="1"/>
        <n v="84.326614000000006" u="1"/>
        <n v="27.153362000000001" u="1"/>
        <n v="201.431511" u="1"/>
        <n v="573.05780600000003" u="1"/>
        <n v="327.136413" u="1"/>
        <n v="2831.996666" u="1"/>
        <n v="302.439662" u="1"/>
        <n v="42.085628" u="1"/>
        <n v="158.191576" u="1"/>
        <n v="881.20459400000004" u="1"/>
        <n v="985.63852199999997" u="1"/>
        <n v="4.7254240000000003" u="1"/>
        <n v="20.951552" u="1"/>
        <n v="236.629651" u="1"/>
        <n v="89.607271999999995" u="1"/>
        <n v="8.3556749999999997" u="1"/>
        <n v="34.185526000000003" u="1"/>
        <n v="309.57744600000001" u="1"/>
        <n v="501.98160200000001" u="1"/>
        <n v="390.22687500000001" u="1"/>
        <n v="172.89703900000001" u="1"/>
        <n v="6.7771559999999997" u="1"/>
        <n v="2.4249480000000001" u="1"/>
        <n v="1119.7978521897442" u="1"/>
        <n v="3.262067" u="1"/>
        <n v="5.9294830000000003" u="1"/>
        <n v="209.12691799999999" u="1"/>
        <n v="367.4966" u="1"/>
        <n v="1.0855619999999999" u="1"/>
        <n v="18.155432000000001" u="1"/>
        <n v="18.257733999999999" u="1"/>
        <n v="668.96175300000004" u="1"/>
        <n v="1225.4298409999999" u="1"/>
        <n v="426.81261000000001" u="1"/>
        <n v="1794.7775360000001" u="1"/>
        <n v="4.11714" u="1"/>
        <n v="216.85913099999999" u="1"/>
        <n v="370.24436500000002" u="1"/>
        <n v="29.490531000000001" u="1"/>
        <n v="94.959149999999994" u="1"/>
        <n v="181.75518500000001" u="1"/>
        <n v="9.8700469999999996" u="1"/>
        <n v="54.081527000000001" u="1"/>
        <n v="75.485960000000006" u="1"/>
        <n v="264.02420699999999" u="1"/>
        <n v="4.8522230000000004" u="1"/>
        <n v="22.360113999999999" u="1"/>
        <n v="53.269179999999999" u="1"/>
        <n v="11.955418999999999" u="1"/>
        <n v="148.81125499999999" u="1"/>
        <n v="96.076524000000006" u="1"/>
        <n v="859.19516099999998" u="1"/>
        <n v="370.651768" u="1"/>
        <n v="683.698216" u="1"/>
        <n v="127.974834" u="1"/>
        <n v="158.78646599999999" u="1"/>
        <n v="12.802737" u="1"/>
        <n v="13.924557999999999" u="1"/>
        <n v="173.298416" u="1"/>
        <n v="20.929670999999999" u="1"/>
        <n v="35.445377000000001" u="1"/>
        <n v="153.62198699999999" u="1"/>
        <n v="152.5899" u="1"/>
        <n v="452.34044799999998" u="1"/>
        <n v="51.181590999999997" u="1"/>
        <n v="3.5605370000000001" u="1"/>
        <n v="710.880222" u="1"/>
        <n v="132.614924" u="1"/>
        <n v="30.681491999999999" u="1"/>
        <n v="190.716174" u="1"/>
        <n v="327.96513399999998" u="1"/>
        <n v="102.690574" u="1"/>
        <n v="37.936624000000002" u="1"/>
        <n v="117.702258" u="1"/>
        <n v="17.921158999999999" u="1"/>
        <n v="75.715147000000002" u="1"/>
        <n v="42.785888" u="1"/>
        <n v="96.378564999999995" u="1"/>
        <n v="167.533807" u="1"/>
        <n v="529.80433100000005" u="1"/>
        <n v="1190.3943919999999" u="1"/>
        <n v="46.915823000000003" u="1"/>
        <n v="38.566467000000003" u="1"/>
        <n v="9.0838459999999994" u="1"/>
        <n v="5.0422399999999996" u="1"/>
        <n v="377.13960300000002" u="1"/>
        <n v="128.68850599999999" u="1"/>
        <n v="71.733887999999993" u="1"/>
        <n v="27.148892" u="1"/>
        <n v="204.254367" u="1"/>
        <n v="39.022345999999999" u="1"/>
        <n v="451.87049300000001" u="1"/>
        <n v="308.79033900000002" u="1"/>
        <n v="3.6630240000000001" u="1"/>
        <n v="0.17430499999999999" u="1"/>
        <n v="127.89205699999999" u="1"/>
        <n v="132.51143200000001" u="1"/>
        <n v="88.587987999999996" u="1"/>
        <n v="120.481697" u="1"/>
        <n v="29.403891000000002" u="1"/>
        <n v="20.996653999999999" u="1"/>
        <n v="228.13819899999999" u="1"/>
        <n v="6.7299519999999999" u="1"/>
        <n v="0.197463" u="1"/>
        <n v="293.21660400000002" u="1"/>
        <n v="680.92879500000004" u="1"/>
        <n v="15.496881" u="1"/>
        <n v="273.64108199999998" u="1"/>
        <n v="4007.7635770000002" u="1"/>
        <n v="7915.18395900001" u="1"/>
        <n v="37.490907999999997" u="1"/>
        <n v="20.281099999999999" u="1"/>
        <n v="188.069211" u="1"/>
        <n v="244.61624399999999" u="1"/>
        <n v="4.7184200000000001" u="1"/>
        <n v="34.976086000000002" u="1"/>
        <n v="251.90905799999999" u="1"/>
        <n v="1357.038873" u="1"/>
        <n v="57.351869999999998" u="1"/>
        <n v="12.010075000000001" u="1"/>
        <n v="53.395341999999999" u="1"/>
        <n v="158.404911" u="1"/>
        <n v="51.395245000000003" u="1"/>
        <n v="144.904008" u="1"/>
        <n v="154.86119600000001" u="1"/>
        <n v="596.84304599999996" u="1"/>
        <n v="27.794701" u="1"/>
        <n v="11.867488" u="1"/>
        <n v="506.11803900000001" u="1"/>
        <n v="2.984048" u="1"/>
        <n v="35.969946" u="1"/>
        <n v="91.530257000000006" u="1"/>
        <n v="4085.2039199999899" u="1"/>
        <n v="21.021574999999999" u="1"/>
        <n v="242.51908" u="1"/>
        <n v="190.549228" u="1"/>
        <n v="1569.0756919999999" u="1"/>
        <n v="107.861997" u="1"/>
        <n v="170.433052" u="1"/>
        <n v="227.661405" u="1"/>
        <n v="463.445198" u="1"/>
        <n v="156.52379500000001" u="1"/>
        <n v="42.678460999999999" u="1"/>
        <n v="384.679597" u="1"/>
        <n v="771.64671299999998" u="1"/>
        <n v="329.51683400000002" u="1"/>
        <n v="697.55615399999999" u="1"/>
        <n v="1303.102723" u="1"/>
        <n v="405.67653000000001" u="1"/>
        <n v="39.142569999999999" u="1"/>
        <n v="51.710161999999997" u="1"/>
        <n v="113.78830600000001" u="1"/>
        <n v="20.506271999999999" u="1"/>
        <n v="42.436317000000003" u="1"/>
        <n v="419.14227499999998" u="1"/>
        <n v="12.852899000000001" u="1"/>
        <n v="88.214083000000002" u="1"/>
        <n v="533.74595299999999" u="1"/>
        <n v="29.021511" u="1"/>
        <n v="102.088792" u="1"/>
        <n v="38.952855999999997" u="1"/>
        <n v="340.61013200000002" u="1"/>
        <n v="3503.9800289999998" u="1"/>
        <n v="1.7079329999999999" u="1"/>
        <n v="62.474364000000001" u="1"/>
        <n v="6.747636" u="1"/>
        <n v="2.2093219999999998" u="1"/>
        <n v="13.382875" u="1"/>
        <n v="37.627352000000002" u="1"/>
        <n v="546.96695" u="1"/>
        <n v="16.751688999999999" u="1"/>
        <n v="84.410421999999997" u="1"/>
        <n v="320.49797699999999" u="1"/>
        <n v="137.42272399999999" u="1"/>
        <n v="107.044352" u="1"/>
        <n v="10.727081" u="1"/>
        <n v="1089.366276442179" u="1"/>
        <n v="51.492271000000002" u="1"/>
        <n v="4.0518549999999998" u="1"/>
        <n v="24.919712000000001" u="1"/>
        <n v="88.127898000000002" u="1"/>
        <n v="176.36609100000001" u="1"/>
        <n v="9.6017360000000007" u="1"/>
        <n v="337.06784299999998" u="1"/>
        <n v="195.03616700000001" u="1"/>
        <n v="494.49172700000003" u="1"/>
        <n v="16.265238" u="1"/>
        <n v="25.203766000000002" u="1"/>
        <n v="77.645864000000003" u="1"/>
        <n v="352.682773" u="1"/>
        <n v="31.832412000000001" u="1"/>
        <n v="43.487678000000002" u="1"/>
        <n v="78.926559999999995" u="1"/>
        <n v="177.57326" u="1"/>
        <n v="578.38413500000001" u="1"/>
        <n v="145.55479500000001" u="1"/>
        <n v="15.191246" u="1"/>
        <n v="95.931087000000005" u="1"/>
        <n v="149.81921800000001" u="1"/>
        <n v="4514.1823709999899" u="1"/>
        <n v="6.0166999999999998E-2" u="1"/>
        <n v="40.651862000000001" u="1"/>
        <n v="478.307592" u="1"/>
        <n v="121.34401" u="1"/>
        <n v="205.26125200000001" u="1"/>
        <n v="8.0499449999999992" u="1"/>
        <n v="16.777759" u="1"/>
        <n v="44.588081000000003" u="1"/>
        <n v="461.120813" u="1"/>
        <n v="1077.841003" u="1"/>
        <n v="35.806600000000003" u="1"/>
        <n v="73.669178000000002" u="1"/>
        <n v="132.24749800000001" u="1"/>
        <n v="7.0990640000000003" u="1"/>
        <n v="64.347533999999996" u="1"/>
        <n v="920.53891999999996" u="1"/>
        <n v="13.261485" u="1"/>
        <n v="6.9140300000000003" u="1"/>
        <n v="358.77451500000001" u="1"/>
        <n v="142.231683" u="1"/>
        <n v="10.598031000000001" u="1"/>
        <n v="298.61900300000002" u="1"/>
        <n v="21.576315999999998" u="1"/>
        <n v="48.670571000000002" u="1"/>
        <n v="303.81868700000001" u="1"/>
        <n v="9.113531" u="1"/>
        <n v="60.483462000000003" u="1"/>
        <n v="86.292326000000003" u="1"/>
        <n v="115.347199" u="1"/>
        <n v="0.90079200000000004" u="1"/>
        <n v="37.185696" u="1"/>
        <n v="7.029172" u="1"/>
        <n v="108.342969" u="1"/>
        <n v="540.21704699999998" u="1"/>
        <n v="45.612378" u="1"/>
        <n v="527.35178099999996" u="1"/>
        <n v="246.505404" u="1"/>
        <n v="80.864260999999999" u="1"/>
        <n v="102.071462" u="1"/>
        <n v="870.92836999999997" u="1"/>
        <n v="1774.6559769999999" u="1"/>
        <n v="6.9371020000000003" u="1"/>
        <n v="35.441563000000002" u="1"/>
        <n v="571.67999799999996" u="1"/>
        <n v="214.984714" u="1"/>
        <n v="328.19875300000001" u="1"/>
        <n v="131.09210899999999" u="1"/>
        <n v="221.983698" u="1"/>
        <n v="789.50001999999995" u="1"/>
        <n v="931.34080400000005" u="1"/>
        <n v="424.90364799999998" u="1"/>
        <n v="54.167703000000003" u="1"/>
        <n v="62.646331000000004" u="1"/>
        <n v="32.709052999999997" u="1"/>
        <n v="52.875504999999997" u="1"/>
        <n v="16.395707999999999" u="1"/>
        <n v="49.112166000000002" u="1"/>
        <n v="26.454257999999999" u="1"/>
        <n v="1090.9843330000001" u="1"/>
        <n v="145.96506299999999" u="1"/>
        <n v="486.39523100000002" u="1"/>
        <n v="3.507285" u="1"/>
        <n v="346.51086199999997" u="1"/>
        <n v="139.380032" u="1"/>
        <n v="3069.9642050000002" u="1"/>
        <n v="45.975123000000004" u="1"/>
        <n v="125.618002" u="1"/>
        <n v="198.05269799999999" u="1"/>
        <n v="593.97087599999998" u="1"/>
        <n v="75.865834000000007" u="1"/>
        <n v="2.6593840000000002" u="1"/>
        <n v="4.2042320000000002" u="1"/>
        <n v="20.711835000000001" u="1"/>
        <n v="230.09262100000001" u="1"/>
        <n v="35.119281999999998" u="1"/>
        <n v="0.37259999999999999" u="1"/>
        <n v="1428.4018249999999" u="1"/>
        <n v="41.689675000000001" u="1"/>
        <n v="12.857753000000001" u="1"/>
        <n v="3.0467230000000001" u="1"/>
        <n v="7.7034390000000004" u="1"/>
        <n v="112.060074" u="1"/>
        <n v="549.68207199999995" u="1"/>
        <n v="120.25927900000001" u="1"/>
        <n v="0.62344999999999995" u="1"/>
        <n v="20.350003000000001" u="1"/>
        <n v="165.91701699999999" u="1"/>
        <n v="396.03206399999999" u="1"/>
        <n v="56.270770505850834" u="1"/>
        <n v="27.947230000000001" u="1"/>
        <n v="47.904142" u="1"/>
        <n v="121.19316600000001" u="1"/>
        <n v="42.833556000000002" u="1"/>
        <n v="19.385701999999998" u="1"/>
        <n v="94.252026999999998" u="1"/>
        <n v="396.29930200000001" u="1"/>
        <n v="77.949099000000004" u="1"/>
        <n v="0.50571999999999995" u="1"/>
        <n v="114.029948" u="1"/>
        <n v="2.3377690000000002" u="1"/>
        <n v="15.828303999999999" u="1"/>
        <n v="116.062065" u="1"/>
        <n v="53.935383000000002" u="1"/>
        <n v="1.1246160000000001" u="1"/>
        <n v="6.0804989999999997" u="1"/>
        <n v="195.98143099999999" u="1"/>
        <n v="600.65628000000004" u="1"/>
        <n v="0.77539000000000002" u="1"/>
        <n v="119.99811" u="1"/>
        <n v="240.19328999999999" u="1"/>
        <n v="10.588125" u="1"/>
        <n v="39.003865622837623" u="1"/>
        <n v="97.164163000000002" u="1"/>
        <n v="950.04383499999994" u="1"/>
        <n v="157.06977800000001" u="1"/>
        <n v="21.671005000000001" u="1"/>
        <n v="106.31580200000001" u="1"/>
        <n v="79.387703999999999" u="1"/>
        <n v="9.4309569999999994" u="1"/>
        <n v="3401.7393710000001" u="1"/>
        <n v="108.832003" u="1"/>
        <n v="5091.0526600000003" u="1"/>
        <n v="60.835915999999997" u="1"/>
        <n v="2514.8368989999999" u="1"/>
        <n v="2.0776720000000002" u="1"/>
        <n v="326.76259700000003" u="1"/>
        <n v="9745.8289149999891" u="1"/>
        <n v="106.923565" u="1"/>
        <n v="1610.935733" u="1"/>
        <n v="644.27600600000005" u="1"/>
        <n v="717.12592299999994" u="1"/>
        <n v="0.75854500000000002" u="1"/>
        <n v="231.01772600000001" u="1"/>
        <n v="150.29837499999999" u="1"/>
        <n v="655.57211199999995" u="1"/>
        <n v="14.992359" u="1"/>
        <n v="77.198310000000006" u="1"/>
        <n v="297.24402900000001" u="1"/>
        <n v="70.383135999999993" u="1"/>
        <n v="673.47035100000005" u="1"/>
        <n v="254.38192100000001" u="1"/>
        <n v="11.263173" u="1"/>
        <n v="20.224613000000002" u="1"/>
        <n v="190.73670100000001" u="1"/>
        <n v="6.8261659999999997" u="1"/>
        <n v="0.76862900000000001" u="1"/>
        <n v="110.60936700000001" u="1"/>
        <n v="190.382768" u="1"/>
        <n v="0.51189099999999998" u="1"/>
        <n v="20.038868999999998" u="1"/>
        <n v="422.121803" u="1"/>
        <n v="311.49525599999998" u="1"/>
        <n v="459.94575099999997" u="1"/>
        <n v="317.55869100000001" u="1"/>
        <n v="134.24228299999999" u="1"/>
        <n v="239.80445499999999" u="1"/>
        <n v="1183.0112790000001" u="1"/>
        <n v="6.3022919999999996" u="1"/>
        <n v="180.29289" u="1"/>
        <n v="976.65033400000004" u="1"/>
        <n v="77.952372999999994" u="1"/>
        <n v="215.37852100000001" u="1"/>
        <n v="4.7417889999999998" u="1"/>
        <n v="126.819427" u="1"/>
        <n v="808.88756299999898" u="1"/>
        <n v="14.082853999999999" u="1"/>
        <n v="75.763616999999996" u="1"/>
        <n v="0.90983499999999995" u="1"/>
        <n v="36.402163000000002" u="1"/>
        <n v="39.073760999999998" u="1"/>
        <n v="46.654421999999997" u="1"/>
        <n v="655.71306900000002" u="1"/>
        <n v="132.20727400000001" u="1"/>
        <n v="60" u="1"/>
        <n v="4.153327" u="1"/>
        <n v="37.781534000000001" u="1"/>
        <n v="66.960642000000007" u="1"/>
        <n v="141.185858" u="1"/>
        <n v="1.927667" u="1"/>
        <n v="204.88377600000001" u="1"/>
        <n v="21.184141" u="1"/>
        <n v="627.79405299999996" u="1"/>
        <n v="48.358846999999997" u="1"/>
        <n v="105.00558700000001" u="1"/>
        <n v="588.43964000000005" u="1"/>
        <n v="998.25172699999996" u="1"/>
        <n v="57.093496999999999" u="1"/>
        <n v="110.97714499999999" u="1"/>
        <n v="426.39657599999998" u="1"/>
        <n v="1.2250270000000001" u="1"/>
        <n v="50.556735000000003" u="1"/>
        <n v="403.71461599999998" u="1"/>
        <n v="10.010698" u="1"/>
        <n v="340.151951" u="1"/>
        <n v="15.912769000000001" u="1"/>
        <n v="170.30494999999999" u="1"/>
        <n v="325.639769" u="1"/>
        <n v="176.638589" u="1"/>
        <n v="40.561979000000001" u="1"/>
        <n v="4.1268140000000004" u="1"/>
        <n v="4435.2186089999996" u="1"/>
        <n v="137.23781" u="1"/>
        <n v="272.95428800000002" u="1"/>
        <n v="946.67006200000003" u="1"/>
        <n v="1.744129" u="1"/>
        <n v="54.254502000000002" u="1"/>
        <n v="1.554252" u="1"/>
        <n v="816.46321599999999" u="1"/>
        <n v="10.944744999999999" u="1"/>
        <n v="79.144867000000005" u="1"/>
        <n v="293.78654399999999" u="1"/>
        <n v="80.697175999999999" u="1"/>
        <n v="124.738851" u="1"/>
        <n v="202.626981" u="1"/>
        <n v="352.800636" u="1"/>
        <n v="377.61588" u="1"/>
        <n v="48.831169000000003" u="1"/>
        <n v="600.00194399999998" u="1"/>
        <n v="140.73871600000001" u="1"/>
        <n v="660.52250400000003" u="1"/>
        <n v="52.672347000000002" u="1"/>
        <n v="418.88361099999997" u="1"/>
        <n v="984.59275000000002" u="1"/>
        <n v="1292.1895019999999" u="1"/>
        <n v="685.43358999999998" u="1"/>
        <n v="6.9296009999999999" u="1"/>
        <n v="0.58854099999999998" u="1"/>
        <n v="409.44404500000002" u="1"/>
        <n v="10.200443999999999" u="1"/>
        <n v="12.345942000000001" u="1"/>
        <n v="29.851614999999999" u="1"/>
        <n v="0.33976600000000001" u="1"/>
        <n v="302.26450299999999" u="1"/>
        <n v="3.8271709999999999" u="1"/>
        <n v="227.41711799999999" u="1"/>
        <n v="144.178372" u="1"/>
        <n v="198.66556700000001" u="1"/>
        <n v="883.24566500000003" u="1"/>
        <n v="253.97106199999999" u="1"/>
        <n v="5.3862259999999997" u="1"/>
        <n v="80.264588000000003" u="1"/>
        <n v="2.8998740000000001" u="1"/>
        <n v="41.556178000000003" u="1"/>
        <n v="39.444423" u="1"/>
        <n v="401.651298" u="1"/>
        <n v="1272.042498" u="1"/>
        <n v="119.856684" u="1"/>
        <n v="8.6965800000000009" u="1"/>
        <n v="142.256777" u="1"/>
        <n v="3.4594520000000002" u="1"/>
        <n v="9.2290539999999996" u="1"/>
        <n v="56.472264000000003" u="1"/>
        <n v="3.2761469999999999" u="1"/>
        <n v="2.1949879999999999" u="1"/>
        <n v="77.238985" u="1"/>
        <n v="108.309004" u="1"/>
        <n v="422.03945199999998" u="1"/>
        <n v="63.956257999999998" u="1"/>
        <n v="146.92182399999999" u="1"/>
        <n v="8.2989750000000004" u="1"/>
        <n v="73.750249999999994" u="1"/>
        <n v="458.62980099999999" u="1"/>
        <n v="24.132448" u="1"/>
        <n v="38.467258000000001" u="1"/>
        <n v="17.107240999999998" u="1"/>
        <n v="709.30224799999996" u="1"/>
        <n v="2134.8163169999998" u="1"/>
        <n v="881.27190800000005" u="1"/>
        <n v="194.84832" u="1"/>
        <n v="478.85339800000003" u="1"/>
        <n v="7.6490549999999997" u="1"/>
        <n v="242.838582" u="1"/>
        <n v="98.583901999999995" u="1"/>
        <n v="109.05011399999999" u="1"/>
        <n v="90.768438000000003" u="1"/>
        <n v="289.31976200000003" u="1"/>
        <n v="17.984386000000001" u="1"/>
        <n v="22.797317" u="1"/>
        <n v="248.475404" u="1"/>
        <n v="11.507937999999999" u="1"/>
        <n v="139.49735100000001" u="1"/>
        <n v="1649.16346" u="1"/>
        <n v="1185.636029" u="1"/>
        <n v="691.91859199999999" u="1"/>
        <n v="56.822423000000001" u="1"/>
        <n v="350.75296900000001" u="1"/>
        <n v="8.3157650000000007" u="1"/>
        <n v="1375.0504960000001" u="1"/>
        <n v="221.00353000000001" u="1"/>
        <n v="177.447847" u="1"/>
        <n v="1667.908776" u="1"/>
        <n v="1899.3308440000001" u="1"/>
        <n v="575.23519399999998" u="1"/>
        <n v="72.945913000000004" u="1"/>
        <n v="1455.816636" u="1"/>
        <n v="93.525221000000002" u="1"/>
        <n v="117.385893" u="1"/>
        <n v="24.320502999999999" u="1"/>
        <n v="680.64845000000003" u="1"/>
        <n v="18.202618999999999" u="1"/>
        <n v="72.835662999999997" u="1"/>
        <n v="174.965881" u="1"/>
        <n v="6.9256000000000002" u="1"/>
        <n v="275.01574599999998" u="1"/>
        <n v="313.03033299999998" u="1"/>
        <n v="314.098029" u="1"/>
        <n v="408.57943399999999" u="1"/>
        <n v="22.992426999999999" u="1"/>
        <n v="142.55192700000001" u="1"/>
        <n v="1301.0823009999999" u="1"/>
        <n v="6.8178840000000003" u="1"/>
        <n v="641.60975299999996" u="1"/>
        <n v="194.09882899999999" u="1"/>
        <n v="99.424278000000001" u="1"/>
        <n v="4.2707750000000004" u="1"/>
        <n v="142.93628799999999" u="1"/>
        <n v="488.474492" u="1"/>
        <n v="1.084657" u="1"/>
        <n v="2.3889520000000002" u="1"/>
        <n v="15.062476999999999" u="1"/>
        <n v="337.38457199999999" u="1"/>
        <n v="1462.000951" u="1"/>
        <n v="16.297176" u="1"/>
        <n v="111.903294" u="1"/>
        <n v="612.80317500000001" u="1"/>
        <n v="178.51480100000001" u="1"/>
        <n v="456.76906400000001" u="1"/>
        <n v="585.12192500000003" u="1"/>
        <n v="652.75752899999998" u="1"/>
        <n v="38.185924999999997" u="1"/>
        <n v="1493.3374530000001" u="1"/>
        <n v="820.47745499999996" u="1"/>
        <n v="27.461117999999999" u="1"/>
        <n v="4.8763820000000004" u="1"/>
        <n v="166.37152900000001" u="1"/>
        <n v="29.413651000000002" u="1"/>
        <n v="212.801571" u="1"/>
        <n v="32.108676000000003" u="1"/>
        <n v="1.6179209999999999" u="1"/>
        <n v="549.97417700000005" u="1"/>
        <n v="742.89553699999999" u="1"/>
        <n v="352.348253" u="1"/>
        <n v="456.635154" u="1"/>
        <n v="0.563029" u="1"/>
        <n v="17.266147" u="1"/>
        <n v="73.848130999999995" u="1"/>
        <n v="599.63902099999996" u="1"/>
        <n v="36.554873000000001" u="1"/>
        <n v="2996.9000150000002" u="1"/>
        <n v="156.47044700000001" u="1"/>
        <n v="15.463431999999999" u="1"/>
        <n v="188.58421999999999" u="1"/>
        <n v="1133.0738289999999" u="1"/>
        <n v="158.266177" u="1"/>
        <n v="638.27214700000002" u="1"/>
        <n v="12.853598" u="1"/>
        <n v="1.0311760000000001" u="1"/>
        <n v="51.958533000000003" u="1"/>
        <n v="2.1006" u="1"/>
        <n v="64.050376999999997" u="1"/>
        <n v="70.555430000000001" u="1"/>
        <n v="1078.313136" u="1"/>
        <n v="672.57402000000002" u="1"/>
        <n v="1532.682458" u="1"/>
        <n v="252.73246599999999" u="1"/>
        <n v="810.02290900000003" u="1"/>
        <n v="0.33337" u="1"/>
        <n v="56.401580000000003" u="1"/>
        <n v="343.45152899999999" u="1"/>
        <n v="4107.8384720000004" u="1"/>
        <n v="6.0658560000000001" u="1"/>
        <n v="67.605174000000005" u="1"/>
        <n v="9.5238969999999998" u="1"/>
        <n v="84.598770000000002" u="1"/>
        <n v="221.55349000000001" u="1"/>
        <n v="5545.7968659999997" u="1"/>
        <n v="1192.9270750000001" u="1"/>
        <n v="94.434451999999993" u="1"/>
        <n v="125.128439" u="1"/>
        <n v="21.361898" u="1"/>
        <n v="294.964268" u="1"/>
        <n v="1191.3011630000001" u="1"/>
        <n v="202.62534600000001" u="1"/>
        <n v="58.483547000000002" u="1"/>
        <n v="2393.641259" u="1"/>
        <n v="47.192504" u="1"/>
        <n v="11.005478" u="1"/>
        <n v="31.936389999999999" u="1"/>
        <n v="317.33647400000001" u="1"/>
        <n v="278.34182499999997" u="1"/>
        <n v="519.36475099999996" u="1"/>
        <n v="75.912907000000004" u="1"/>
        <n v="304.42403000000002" u="1"/>
        <n v="420.21508899999998" u="1"/>
        <n v="1.531244" u="1"/>
        <n v="31.131795" u="1"/>
        <n v="56.797457000000001" u="1"/>
        <n v="10.810667" u="1"/>
        <n v="165.61259100000001" u="1"/>
        <n v="746.89980499999899" u="1"/>
        <n v="0.84563200000000005" u="1"/>
        <n v="21.823924999999999" u="1"/>
        <n v="27.034721000000001" u="1"/>
        <n v="429.64424700000001" u="1"/>
        <n v="156.60230300000001" u="1"/>
        <n v="1029.858888" u="1"/>
        <n v="851.71158000000003" u="1"/>
        <n v="4.4649729999999996" u="1"/>
        <n v="467.34712999999999" u="1"/>
        <n v="966.10378700000001" u="1"/>
        <n v="2640.1456680000001" u="1"/>
        <n v="22.604996" u="1"/>
        <n v="103.632875" u="1"/>
        <n v="1220.527869" u="1"/>
        <n v="3.9445269999999999" u="1"/>
        <n v="229.686871" u="1"/>
        <n v="92.094046000000006" u="1"/>
        <n v="1591.2134390000001" u="1"/>
        <n v="6.6155210000000002" u="1"/>
        <n v="680.06611899999996" u="1"/>
        <n v="8.5106990000000007" u="1"/>
        <n v="101.48298" u="1"/>
        <n v="24.132116" u="1"/>
        <n v="275.73030899999998" u="1"/>
        <n v="1038.2990589999999" u="1"/>
        <n v="73.495334" u="1"/>
        <n v="321.24589800000001" u="1"/>
        <n v="3.2782019999999998" u="1"/>
        <n v="125.353882" u="1"/>
        <n v="17.232282999999999" u="1"/>
        <n v="27.841898" u="1"/>
        <n v="636.21543699999995" u="1"/>
        <n v="8.2485049999999998" u="1"/>
        <n v="820.00862900000004" u="1"/>
        <n v="152.494044" u="1"/>
        <n v="31.377950999999999" u="1"/>
        <n v="212.71444600000001" u="1"/>
        <n v="1250.668291" u="1"/>
        <n v="55.989277000000001" u="1"/>
        <n v="5.0801780000000001" u="1"/>
        <n v="7.8315169999999998" u="1"/>
        <n v="287.73993999999999" u="1"/>
        <n v="581.79141900000002" u="1"/>
        <n v="340.56454600000001" u="1"/>
        <n v="29.423030000000001" u="1"/>
        <n v="74.117547000000002" u="1"/>
        <n v="1130.9752450000001" u="1"/>
        <n v="4.4949029999999999" u="1"/>
        <n v="149.11292700000001" u="1"/>
        <n v="963.68796699999996" u="1"/>
        <n v="1.6775690000000001" u="1"/>
        <n v="18.600452000000001" u="1"/>
        <n v="904.38486800000101" u="1"/>
        <n v="19.961169000000002" u="1"/>
        <n v="219.842007" u="1"/>
        <n v="4.1451039999999999" u="1"/>
        <n v="20.601787999999999" u="1"/>
        <n v="359.26502699999998" u="1"/>
        <n v="123.27617499999999" u="1"/>
        <n v="192.63368399999999" u="1"/>
        <n v="25.367190999999998" u="1"/>
        <n v="144.83005" u="1"/>
        <n v="397.12947700000001" u="1"/>
        <n v="3199.2744990000001" u="1"/>
        <n v="49.425761000000001" u="1"/>
        <n v="274.50575099999998" u="1"/>
        <n v="25.634108000000001" u="1"/>
        <n v="175.808986" u="1"/>
        <n v="57.451456999999998" u="1"/>
        <n v="262.84934800000002" u="1"/>
        <n v="336.80551300000002" u="1"/>
        <n v="204.647637" u="1"/>
        <n v="124.12196400000001" u="1"/>
        <n v="16.089960999999999" u="1"/>
        <n v="412.79075399999999" u="1"/>
        <n v="6.437036" u="1"/>
        <n v="60.856319999999997" u="1"/>
        <n v="1558.8246260000001" u="1"/>
        <n v="20.123850999999998" u="1"/>
        <n v="14.288732" u="1"/>
        <n v="238.929597" u="1"/>
        <n v="36.663708" u="1"/>
        <n v="221.44966099999999" u="1"/>
        <n v="269.94227100000001" u="1"/>
        <n v="2.0447310000000001" u="1"/>
        <n v="76.904021999999998" u="1"/>
        <n v="14.907916999999999" u="1"/>
        <n v="15.957164000000001" u="1"/>
        <n v="12.488960000000001" u="1"/>
        <n v="22.060214999999999" u="1"/>
        <n v="67.521039999999999" u="1"/>
        <n v="13.083758" u="1"/>
        <n v="858.708845" u="1"/>
        <n v="10607.849447000001" u="1"/>
        <n v="630.71230400000002" u="1"/>
        <n v="20.226308" u="1"/>
        <n v="162.158109" u="1"/>
        <n v="11.790255999999999" u="1"/>
        <n v="80.982235000000003" u="1"/>
        <n v="121.200873" u="1"/>
        <n v="1486.7040239999999" u="1"/>
        <n v="222.98475099999999" u="1"/>
        <n v="8.8080350000000003" u="1"/>
        <n v="36.021459" u="1"/>
        <n v="232.07159100000001" u="1"/>
        <n v="431.47451799999999" u="1"/>
        <n v="7.0773549999999998" u="1"/>
        <n v="2701.197549" u="1"/>
        <n v="290.472262" u="1"/>
        <n v="7.4562280000000003" u="1"/>
        <n v="178.20039499999999" u="1"/>
        <n v="195.907577" u="1"/>
        <n v="4515.463573" u="1"/>
        <n v="160.55722499999999" u="1"/>
        <n v="34.674005999999999" u="1"/>
        <n v="222.26827299999999" u="1"/>
        <n v="3.2245050000000002" u="1"/>
        <n v="18.363945999999999" u="1"/>
        <n v="19.257766" u="1"/>
        <n v="82.522064999999998" u="1"/>
        <n v="9.226324" u="1"/>
        <n v="9.2198290000000007" u="1"/>
        <n v="1420.0525962714282" u="1"/>
        <n v="7.5154110000000003" u="1"/>
        <n v="5.1826150000000002" u="1"/>
        <n v="80.670392000000007" u="1"/>
        <n v="132.020701" u="1"/>
        <n v="212.91490693564023" u="1"/>
        <n v="42.331905999999996" u="1"/>
        <n v="330.73614300000003" u="1"/>
        <n v="64.696167000000003" u="1"/>
        <n v="6.9398179999999998" u="1"/>
        <n v="77.934747000000002" u="1"/>
        <n v="15.759266" u="1"/>
        <n v="26.397423" u="1"/>
        <n v="187.01460800000001" u="1"/>
        <n v="278.62955299999999" u="1"/>
        <n v="331.78183799999999" u="1"/>
        <n v="114.06210799999999" u="1"/>
        <n v="4.2058580000000001" u="1"/>
        <n v="18.432341999999998" u="1"/>
        <n v="19.307486000000001" u="1"/>
        <n v="190.565394" u="1"/>
        <n v="30.809858999999999" u="1"/>
        <n v="361.094559" u="1"/>
        <n v="10.703711" u="1"/>
        <n v="76.611531999999997" u="1"/>
        <n v="224.04608300000001" u="1"/>
        <n v="159.580163" u="1"/>
        <n v="167.22257400000001" u="1"/>
        <n v="324.002703" u="1"/>
        <n v="925.44853999999998" u="1"/>
        <n v="254.59746799999999" u="1"/>
        <n v="96.341040000000007" u="1"/>
        <n v="1033.110291" u="1"/>
        <n v="3292.5586119999998" u="1"/>
        <n v="24.771395999999999" u="1"/>
        <n v="602.85286299999996" u="1"/>
        <n v="1.277436" u="1"/>
        <n v="56.889370999999997" u="1"/>
        <n v="308.253468" u="1"/>
        <n v="103.35954599999999" u="1"/>
        <n v="219.95135200000001" u="1"/>
        <n v="246.79780299999999" u="1"/>
        <n v="38.721932000000002" u="1"/>
        <n v="3495.4944869999999" u="1"/>
        <n v="94.861035000000001" u="1"/>
        <n v="118.16130800000001" u="1"/>
        <n v="27.878160000000001" u="1"/>
        <n v="79.633685999999997" u="1"/>
        <n v="98.060751999999994" u="1"/>
        <n v="30.719581999999999" u="1"/>
        <n v="1394.9521569999999" u="1"/>
        <n v="410.90024599999998" u="1"/>
        <n v="14.885944" u="1"/>
        <n v="5.7429969999999999" u="1"/>
        <n v="62.691992999999997" u="1"/>
        <n v="66.353260000000006" u="1"/>
        <n v="10.32161" u="1"/>
        <n v="5.4573390000000002" u="1"/>
        <n v="73.607183000000006" u="1"/>
        <n v="4.8331210000000002" u="1"/>
        <n v="250.396278" u="1"/>
        <n v="578.07795699999997" u="1"/>
        <n v="71.388797999999994" u="1"/>
        <n v="4356.3196950000001" u="1"/>
        <n v="43.82432" u="1"/>
        <n v="32.740518000000002" u="1"/>
        <n v="476.24969099999998" u="1"/>
        <n v="69.412953999999999" u="1"/>
        <n v="205.91585900000001" u="1"/>
        <n v="258.84929499999998" u="1"/>
        <n v="57.016156000000002" u="1"/>
        <n v="378.23515600000002" u="1"/>
        <n v="400.336206" u="1"/>
        <n v="1185.024615" u="1"/>
        <n v="0.71249700000000005" u="1"/>
        <n v="440.38000399999999" u="1"/>
        <n v="16.534741" u="1"/>
        <n v="57.307448999999998" u="1"/>
        <n v="43.979455999999999" u="1"/>
        <n v="81.184714" u="1"/>
        <n v="1162.7128290000001" u="1"/>
        <n v="24.328306999999999" u="1"/>
        <n v="42.571424" u="1"/>
        <n v="605.42378599999995" u="1"/>
        <n v="8.9198869999999992" u="1"/>
        <n v="308.158367" u="1"/>
        <n v="124.99088399999999" u="1"/>
        <n v="3.8304" u="1"/>
        <n v="247.38202899999999" u="1"/>
        <n v="1.8168709999999999" u="1"/>
        <n v="6.6010580000000001" u="1"/>
        <n v="250.48193000000001" u="1"/>
        <n v="308.630942" u="1"/>
        <n v="427.41903600000001" u="1"/>
        <n v="106.25460699999999" u="1"/>
        <n v="71.319936999999996" u="1"/>
        <n v="293.775644" u="1"/>
        <n v="214.51672600000001" u="1"/>
        <n v="1010.747251" u="1"/>
        <n v="326.72814" u="1"/>
        <n v="21.800708" u="1"/>
        <n v="343.27018299999997" u="1"/>
        <n v="6.5916269999999999" u="1"/>
        <n v="141.81250800000001" u="1"/>
        <n v="8.0863770000000006" u="1"/>
        <n v="268.46556900000002" u="1"/>
        <n v="1.773061" u="1"/>
        <n v="12.053414999999999" u="1"/>
        <n v="371.36075799999998" u="1"/>
        <n v="430.67857800000002" u="1"/>
        <n v="271.85220199999998" u="1"/>
        <n v="794.50047199999995" u="1"/>
        <n v="169.687592" u="1"/>
        <n v="107.979066" u="1"/>
        <n v="11.039728" u="1"/>
        <n v="257.706414" u="1"/>
        <n v="5.332344" u="1"/>
        <n v="103.753446" u="1"/>
        <n v="26.613067999999998" u="1"/>
        <n v="4953.3891640000002" u="1"/>
        <n v="242.764509" u="1"/>
        <n v="480.10073899999998" u="1"/>
        <n v="1.861461" u="1"/>
        <n v="314.64921500000003" u="1"/>
        <n v="424.14291700000001" u="1"/>
        <n v="7.3611050000000002" u="1"/>
        <n v="17.928196" u="1"/>
        <n v="16.745597" u="1"/>
        <n v="299.54425199999997" u="1"/>
        <n v="27.360385000000001" u="1"/>
        <n v="16.461756000000001" u="1"/>
        <n v="376.78395599999999" u="1"/>
        <n v="48.069408000000003" u="1"/>
        <n v="621.98080100000004" u="1"/>
        <n v="337.379839" u="1"/>
        <n v="14.386069000000001" u="1"/>
        <n v="118.233397" u="1"/>
        <n v="1522.624699" u="1"/>
        <n v="45.974153999999999" u="1"/>
        <n v="381.27231999999998" u="1"/>
        <n v="42.791465000000002" u="1"/>
        <n v="94.982273000000006" u="1"/>
        <n v="409.458551" u="1"/>
        <n v="35.994475999999999" u="1"/>
        <n v="167.661474" u="1"/>
        <n v="68.286753000000004" u="1"/>
        <n v="142.628952" u="1"/>
        <n v="236.02129600000001" u="1"/>
        <n v="15.547447" u="1"/>
        <n v="74.527344999999997" u="1"/>
        <n v="1.6091200000000001" u="1"/>
        <n v="794.58912199999997" u="1"/>
        <n v="269.71528000000001" u="1"/>
        <n v="21.999058000000002" u="1"/>
        <n v="162.00769299999999" u="1"/>
        <n v="152.003118" u="1"/>
        <n v="16.175646" u="1"/>
        <n v="12.56912" u="1"/>
        <n v="249.80624299999999" u="1"/>
        <n v="10.308312000000001" u="1"/>
        <n v="128.64748900000001" u="1"/>
        <n v="111.816447" u="1"/>
        <n v="16.831014" u="1"/>
        <n v="92.432524999999998" u="1"/>
        <n v="179.92706100000001" u="1"/>
        <n v="1040.7831441732314" u="1"/>
        <n v="165.52905899999999" u="1"/>
        <n v="591.10750199999995" u="1"/>
        <n v="623.92284600000005" u="1"/>
        <n v="28.734828" u="1"/>
        <n v="2.1211350000000002" u="1"/>
        <n v="4.8033330000000003" u="1"/>
        <n v="972.12998300000004" u="1"/>
        <n v="104.297072" u="1"/>
        <n v="257.066732" u="1"/>
        <n v="150.10333900000001" u="1"/>
        <n v="3.1966700000000001" u="1"/>
        <n v="23.291295000000002" u="1"/>
        <n v="24.036581999999999" u="1"/>
        <n v="172.279121" u="1"/>
        <n v="794.27739700000097" u="1"/>
        <n v="3.1431710000000002" u="1"/>
        <n v="4.8765499999999999" u="1"/>
        <n v="4085.5866030000002" u="1"/>
        <n v="20.630262999999999" u="1"/>
        <n v="66.679069999999996" u="1"/>
        <n v="149.51109199999999" u="1"/>
        <n v="484.59202599999998" u="1"/>
        <n v="144.698666" u="1"/>
        <n v="231.3382" u="1"/>
        <n v="2138.207418" u="1"/>
        <n v="45.417631999999998" u="1"/>
        <n v="2305.9195589999999" u="1"/>
        <n v="207.74422000000001" u="1"/>
        <n v="25.139828000000001" u="1"/>
        <n v="43.252319999999997" u="1"/>
        <n v="135.560428" u="1"/>
        <n v="13.245304000000001" u="1"/>
        <n v="336.29526199999998" u="1"/>
        <n v="18.115895999999999" u="1"/>
        <n v="182.90697499999999" u="1"/>
        <n v="200.014454" u="1"/>
        <n v="4.1344669999999999" u="1"/>
        <n v="5.0545840000000002" u="1"/>
        <n v="7.7982630000000004" u="1"/>
        <n v="59.330717999999997" u="1"/>
        <n v="39.802048999999997" u="1"/>
        <n v="1168.535697" u="1"/>
        <n v="102.96548199999999" u="1"/>
        <n v="75.634332000000001" u="1"/>
        <n v="609.31653599999902" u="1"/>
        <n v="384.484938" u="1"/>
        <n v="526.55494199999998" u="1"/>
        <n v="17.882888000000001" u="1"/>
        <n v="574.05212300000005" u="1"/>
        <n v="712.00325799999996" u="1"/>
        <n v="96.931826999999998" u="1"/>
        <n v="579.87051199999996" u="1"/>
        <n v="34.262296999999997" u="1"/>
        <n v="219.18421799999999" u="1"/>
        <n v="72.397311999999999" u="1"/>
        <n v="3141.1323280000001" u="1"/>
        <n v="518.15001299999994" u="1"/>
        <n v="147.15633399999999" u="1"/>
        <n v="98.405010000000004" u="1"/>
        <n v="379.09021000000001" u="1"/>
        <n v="812.29948095140321" u="1"/>
        <n v="3.7830849999999998" u="1"/>
        <n v="347.45783299999999" u="1"/>
        <n v="30.496594999999999" u="1"/>
        <n v="0.55349800000000005" u="1"/>
        <n v="23.143162" u="1"/>
        <n v="70.512260999999995" u="1"/>
        <n v="44.223573000000002" u="1"/>
        <n v="53.303615000000001" u="1"/>
        <n v="397.705262" u="1"/>
        <n v="26.404488000000001" u="1"/>
        <n v="1171.874182" u="1"/>
        <n v="697.14707999999996" u="1"/>
        <n v="45.674613000000001" u="1"/>
        <n v="235.13401400000001" u="1"/>
        <n v="47.565587999999998" u="1"/>
        <n v="59.436183" u="1"/>
        <n v="3.5394920000000001" u="1"/>
        <n v="472.09537599999999" u="1"/>
        <n v="414.78878099999997" u="1"/>
        <n v="100.38174100000001" u="1"/>
        <n v="1323.012651" u="1"/>
        <n v="7.0678369999999999" u="1"/>
        <n v="1.705158" u="1"/>
        <n v="156.87307300000001" u="1"/>
        <n v="1.979838" u="1"/>
        <n v="3.4084140000000001" u="1"/>
        <n v="37.673653999999999" u="1"/>
        <n v="28.031821999999998" u="1"/>
        <n v="142.58652599999999" u="1"/>
        <n v="246.499707" u="1"/>
        <n v="1.2052989999999999" u="1"/>
        <n v="24.678004999999999" u="1"/>
        <n v="34.564656999999997" u="1"/>
        <n v="13.863403" u="1"/>
        <n v="81.598986999999994" u="1"/>
        <n v="6.0992620000000004" u="1"/>
        <n v="13.400641999999999" u="1"/>
        <n v="20.070404" u="1"/>
        <n v="390.51642500000003" u="1"/>
        <n v="40.365870999999999" u="1"/>
        <n v="289.63989900000001" u="1"/>
        <n v="543.27220599999998" u="1"/>
        <n v="27.821673000000001" u="1"/>
        <n v="42.677028" u="1"/>
        <n v="294.86499199999997" u="1"/>
        <n v="370.93547599999999" u="1"/>
        <n v="46.160401999999998" u="1"/>
        <n v="49.018990000000002" u="1"/>
        <n v="145.20870400000001" u="1"/>
        <n v="89.685305" u="1"/>
        <n v="909.02486900000099" u="1"/>
        <n v="8.4409299999999998" u="1"/>
        <n v="185.746465" u="1"/>
        <n v="250.46665100000001" u="1"/>
        <n v="192.571955" u="1"/>
        <n v="52.464882000000003" u="1"/>
        <n v="5.2168390000000002" u="1"/>
        <n v="223.69115300000001" u="1"/>
        <n v="0.56291899999999995" u="1"/>
        <n v="25.858913000000001" u="1"/>
        <n v="27.493873000000001" u="1"/>
        <n v="406.45421099999999" u="1"/>
        <n v="140.61901599999999" u="1"/>
        <n v="198.12434200000001" u="1"/>
        <n v="936.96678999999904" u="1"/>
        <n v="1.0649789999999999" u="1"/>
        <n v="82.763985000000005" u="1"/>
        <n v="246.68770714087429" u="1"/>
        <n v="7.8346210000000003" u="1"/>
        <n v="272.25851699999998" u="1"/>
        <n v="461.65420799999998" u="1"/>
        <n v="15.518153" u="1"/>
        <n v="242.27621400000001" u="1"/>
        <n v="188.41369" u="1"/>
        <n v="12.662807000000001" u="1"/>
        <n v="358.45329500000003" u="1"/>
        <n v="257.92507999999998" u="1"/>
        <n v="326.21527200000003" u="1"/>
        <n v="8.9577659999999995" u="1"/>
        <n v="80.533527000000007" u="1"/>
        <n v="53.991549999999997" u="1"/>
        <n v="24.083590999999998" u="1"/>
        <n v="20.297150999999999" u="1"/>
        <n v="113.711038" u="1"/>
        <n v="334.47634699999998" u="1"/>
        <n v="70.758950999999996" u="1"/>
        <n v="311.08443599999998" u="1"/>
        <n v="320.14059300000002" u="1"/>
        <n v="1528.124773" u="1"/>
        <n v="683.58199400000001" u="1"/>
        <n v="89.643463999999994" u="1"/>
        <n v="650.03682900000001" u="1"/>
        <n v="1034.267554" u="1"/>
        <n v="119.583249" u="1"/>
        <n v="64.817700000000002" u="1"/>
        <n v="22.039535000000001" u="1"/>
        <n v="56.647925000000001" u="1"/>
        <n v="2221.5542989999999" u="1"/>
        <n v="19.869620999999999" u="1"/>
        <n v="477.43536699999999" u="1"/>
        <n v="65.377397999999999" u="1"/>
        <n v="6.0075719999999997" u="1"/>
        <n v="51.266162999999999" u="1"/>
        <n v="18.846941000000001" u="1"/>
        <n v="113.78624600000001" u="1"/>
        <n v="56.472746999999998" u="1"/>
        <n v="74.139964000000006" u="1"/>
        <n v="7.4025169999999996" u="1"/>
        <n v="513.07799599999998" u="1"/>
        <n v="9.4763900000000003" u="1"/>
        <n v="83.051698999999999" u="1"/>
        <n v="87.247631999999996" u="1"/>
        <n v="217.01497499999999" u="1"/>
        <n v="24.02731" u="1"/>
        <n v="241.52578500000001" u="1"/>
        <n v="5.1568329999999998" u="1"/>
        <n v="285.73133000000001" u="1"/>
        <n v="97.350179999999995" u="1"/>
        <n v="103.95027399999999" u="1"/>
        <n v="109.07689499999999" u="1"/>
        <n v="351.276701" u="1"/>
        <n v="552.50043300000004" u="1"/>
        <n v="0.79192399999999996" u="1"/>
        <n v="295.32210099999998" u="1"/>
        <n v="314.26499000000001" u="1"/>
        <n v="332.76889799999998" u="1"/>
        <n v="5.9027630000000002" u="1"/>
        <n v="80.075418999999997" u="1"/>
        <n v="1.5997570000000001" u="1"/>
        <n v="11.169860999999999" u="1"/>
        <n v="702.06862599999999" u="1"/>
        <n v="1228.1926189999999" u="1"/>
        <n v="128.52222699999999" u="1"/>
        <n v="409.84420799999998" u="1"/>
        <n v="44.854899197387873" u="1"/>
        <n v="1394.970734" u="1"/>
        <n v="8727.9330989999999" u="1"/>
        <n v="376.20216099999999" u="1"/>
        <n v="53.529671999999998" u="1"/>
        <n v="3.208799" u="1"/>
        <n v="3.8691409999999999" u="1"/>
        <n v="24.607295000000001" u="1"/>
        <n v="462.43577399999998" u="1"/>
        <n v="48.616945999999999" u="1"/>
        <n v="158.91192899999999" u="1"/>
        <n v="44.081775999999998" u="1"/>
        <n v="100.009111" u="1"/>
        <n v="138.06643299999999" u="1"/>
        <n v="143.930083" u="1"/>
        <n v="143.009242" u="1"/>
        <n v="4.4261650000000001" u="1"/>
        <n v="125.835548" u="1"/>
        <n v="50.076250999999999" u="1"/>
        <n v="748.46616300000005" u="1"/>
        <n v="1194.5543" u="1"/>
        <n v="1.1993640000000001" u="1"/>
        <n v="60.563724999999998" u="1"/>
        <n v="9.2901779999999992" u="1"/>
        <n v="6.8706740000000002" u="1"/>
        <n v="94.018947999999995" u="1"/>
        <n v="2.301644" u="1"/>
        <n v="82.391261999999998" u="1"/>
        <n v="94.27122" u="1"/>
        <n v="226.156181" u="1"/>
        <n v="2.0319259999999999" u="1"/>
        <n v="71.199861999999996" u="1"/>
        <n v="2432.5168210000002" u="1"/>
        <n v="143.687466" u="1"/>
        <n v="654.977621" u="1"/>
        <n v="284.36866900000001" u="1"/>
        <n v="4.2100059999999999" u="1"/>
        <n v="20.158712999999999" u="1"/>
        <n v="67.861849000000007" u="1"/>
        <n v="75.440928" u="1"/>
        <n v="1.900776" u="1"/>
        <n v="36.863773000000002" u="1"/>
        <n v="109.544965" u="1"/>
        <n v="308.04316599999999" u="1"/>
        <n v="22.310918999999998" u="1"/>
        <n v="25.120939" u="1"/>
        <n v="85.503415000000004" u="1"/>
        <n v="12.928642999999999" u="1"/>
        <n v="315.77305799999999" u="1"/>
        <n v="3.7099519999999999" u="1"/>
        <n v="472.65697499999999" u="1"/>
        <n v="1471.626882" u="1"/>
        <n v="34.063198999999997" u="1"/>
        <n v="165.41724300000001" u="1"/>
        <n v="9.8395630000000001" u="1"/>
        <n v="33.442017999999997" u="1"/>
        <n v="200.44889000000001" u="1"/>
        <n v="53.873328000000001" u="1"/>
        <n v="21.708355999999998" u="1"/>
        <n v="130.44339199999999" u="1"/>
        <n v="120.54151299999999" u="1"/>
        <n v="525.01958300000001" u="1"/>
        <n v="113.122801" u="1"/>
        <n v="336.197587" u="1"/>
        <n v="152.182129" u="1"/>
        <n v="1713.356775" u="1"/>
        <n v="26.554234999999998" u="1"/>
        <n v="182.237675" u="1"/>
        <n v="61.796086000000003" u="1"/>
        <n v="95.5167" u="1"/>
        <n v="638.61988399999996" u="1"/>
        <n v="24.312622999999999" u="1"/>
        <n v="82.273814000000002" u="1"/>
        <n v="343.93976800000002" u="1"/>
        <n v="2127.1212839999998" u="1"/>
        <n v="68.504817000000003" u="1"/>
        <n v="15.471099000000001" u="1"/>
        <n v="76.575688999999997" u="1"/>
        <n v="5.045534" u="1"/>
        <n v="366.57408600000002" u="1"/>
        <n v="75.510925" u="1"/>
        <n v="63.727974000000003" u="1"/>
        <n v="1472.713029" u="1"/>
        <n v="2.977617" u="1"/>
        <n v="19.242491999999999" u="1"/>
        <n v="35.301492000000003" u="1"/>
        <n v="114.539486" u="1"/>
        <n v="334.90739600000001" u="1"/>
        <n v="14.801339" u="1"/>
        <n v="82.837326000000004" u="1"/>
        <n v="75.118015" u="1"/>
        <n v="2.1331869999999999" u="1"/>
        <n v="4.6083340000000002" u="1"/>
        <n v="189.58791400000001" u="1"/>
        <n v="18475.722803000001" u="1"/>
        <n v="41.730525999999998" u="1"/>
        <n v="190.84874199999999" u="1"/>
        <n v="34.833849999999998" u="1"/>
        <n v="15.653185000000001" u="1"/>
        <n v="489.18814300000003" u="1"/>
        <n v="23.67334" u="1"/>
        <n v="555.15054299999997" u="1"/>
        <n v="143.75233399999999" u="1"/>
        <n v="289.99293599999999" u="1"/>
        <n v="14.413061000000001" u="1"/>
        <n v="591.50564699999995" u="1"/>
        <n v="353.41765600000002" u="1"/>
        <n v="388.64548500000001" u="1"/>
        <n v="440.507926" u="1"/>
        <n v="162.98049700000001" u="1"/>
        <n v="3480.3854190000002" u="1"/>
        <n v="0.170402" u="1"/>
        <n v="2405.6316489999999" u="1"/>
        <n v="6.9118769999999996" u="1"/>
        <n v="73.669870000000003" u="1"/>
        <n v="634.86330999999996" u="1"/>
        <n v="61.705038000000002" u="1"/>
        <n v="414.81854600000003" u="1"/>
        <n v="219.788658" u="1"/>
        <n v="12.186088" u="1"/>
        <n v="15.464459" u="1"/>
        <n v="181.00856200000001" u="1"/>
        <n v="3.4749400000000001" u="1"/>
        <n v="39.247050999999999" u="1"/>
        <n v="47.483651000000002" u="1"/>
        <n v="2716.7872980000002" u="1"/>
        <n v="37.403759000000001" u="1"/>
        <n v="40.098728999999999" u="1"/>
        <n v="128.371903" u="1"/>
        <n v="131.543105" u="1"/>
        <n v="75.728658999999993" u="1"/>
        <n v="293.601923" u="1"/>
        <n v="211.784909" u="1"/>
        <n v="2.0222319999999998" u="1"/>
        <n v="2.7781380000000002" u="1"/>
        <n v="28.573599000000002" u="1"/>
        <n v="0.62182400000000004" u="1"/>
        <n v="682.658771" u="1"/>
        <n v="135.935664" u="1"/>
        <n v="6.4904900000000003" u="1"/>
        <n v="937.96474599999999" u="1"/>
        <n v="1715.989591" u="1"/>
        <n v="9.4228459999999998" u="1"/>
        <n v="18.490286000000001" u="1"/>
        <n v="151.63488000000001" u="1"/>
        <n v="342.91099500000001" u="1"/>
        <n v="128.54579200000001" u="1"/>
        <n v="150.22722999999999" u="1"/>
        <n v="145.422571" u="1"/>
        <n v="171.25419600000001" u="1"/>
        <n v="497.34213399999999" u="1"/>
        <n v="1649.0627354493286" u="1"/>
        <n v="13.447380000000001" u="1"/>
        <n v="17.119883999999999" u="1"/>
        <n v="23.613492999999998" u="1"/>
        <n v="1106.785007" u="1"/>
        <n v="3.876252" u="1"/>
        <n v="11.915374" u="1"/>
        <n v="3181.2608850000001" u="1"/>
        <n v="102.85030500000001" u="1"/>
        <n v="188.05484100000001" u="1"/>
        <n v="274.52320200000003" u="1"/>
        <n v="339.39546100000001" u="1"/>
        <n v="1.4842580000000001" u="1"/>
        <n v="133.65486200000001" u="1"/>
        <n v="442.81562100000002" u="1"/>
        <n v="4.3639830000000002" u="1"/>
        <n v="10.787559999999999" u="1"/>
        <n v="553.90994000000001" u="1"/>
        <n v="5.8256040000000002" u="1"/>
        <n v="17.656839000000002" u="1"/>
        <n v="85.968047999999996" u="1"/>
        <n v="2.820859" u="1"/>
        <n v="7.7031029999999996" u="1"/>
        <n v="9.3424040000000002" u="1"/>
        <n v="61.241577999999997" u="1"/>
        <n v="35.620727000000002" u="1"/>
        <n v="343.76595900000001" u="1"/>
        <n v="18.571372" u="1"/>
        <n v="5221.6155849999996" u="1"/>
        <n v="113.42041399999999" u="1"/>
        <n v="112.22274400000001" u="1"/>
        <n v="132.31797" u="1"/>
        <n v="175.732337" u="1"/>
        <n v="343.08294899999999" u="1"/>
        <n v="508.313648" u="1"/>
        <n v="5.9157529999999996" u="1"/>
        <n v="17.778279000000001" u="1"/>
        <n v="944.85012900000004" u="1"/>
        <n v="38.353518000000001" u="1"/>
        <n v="134.97917799999999" u="1"/>
        <n v="315.82957900000002" u="1"/>
        <n v="135.33836199999999" u="1"/>
        <n v="1832.9404340000001" u="1"/>
        <n v="1658.796014" u="1"/>
        <n v="35.273066" u="1"/>
        <n v="16.761050000000001" u="1"/>
        <n v="163.84239299999999" u="1"/>
        <n v="15.281534000000001" u="1"/>
        <n v="10.688908" u="1"/>
        <n v="322.17287858286102" u="1"/>
        <n v="16.916038" u="1"/>
        <n v="306.49739699999998" u="1"/>
        <n v="6.413151" u="1"/>
        <n v="1168.4908869999999" u="1"/>
        <n v="17.656116000000001" u="1"/>
        <n v="245.41037900000001" u="1"/>
        <n v="738.16560200000094" u="1"/>
        <n v="0.501919" u="1"/>
        <n v="2.227001" u="1"/>
        <n v="101.397007" u="1"/>
        <n v="214.617073" u="1"/>
        <n v="187.12851800000001" u="1"/>
        <n v="511.45748300000002" u="1"/>
        <n v="44.857680999999999" u="1"/>
        <n v="747.01088000000004" u="1"/>
        <n v="4.5850869999999997" u="1"/>
        <n v="16.382507" u="1"/>
        <n v="2.9709180000000002" u="1"/>
        <n v="20.783351" u="1"/>
        <n v="39.948017999999998" u="1"/>
        <n v="143.48436599999999" u="1"/>
        <n v="260.00165399999997" u="1"/>
        <n v="0.81998599999999999" u="1"/>
        <n v="603.09349499999996" u="1"/>
        <n v="50.861359999999998" u="1"/>
        <n v="62.274904999999997" u="1"/>
        <n v="86.570049999999995" u="1"/>
        <n v="1432.4905209999999" u="1"/>
        <n v="4.7861849999999997" u="1"/>
        <n v="26.402549" u="1"/>
        <n v="382.60435000000001" u="1"/>
        <n v="22.849813999999999" u="1"/>
        <n v="61.810015999999997" u="1"/>
        <n v="283.13518199999999" u="1"/>
        <n v="184.966915" u="1"/>
        <n v="25.750969999999999" u="1"/>
        <n v="43.266018000000003" u="1"/>
        <n v="43.636335000000003" u="1"/>
        <n v="191.79812000000001" u="1"/>
        <n v="17.778956999999998" u="1"/>
        <n v="533.30205000000001" u="1"/>
        <n v="297.71301999999997" u="1"/>
        <n v="2.2134040000000001" u="1"/>
        <n v="54.172648000000002" u="1"/>
        <n v="2180.5995370000001" u="1"/>
        <n v="94.283298000000002" u="1"/>
        <n v="50.069603000000001" u="1"/>
        <n v="0.84582800000000002" u="1"/>
        <n v="50" u="1"/>
        <n v="306.829294" u="1"/>
        <n v="27.959247000000001" u="1"/>
        <n v="41.738973000000001" u="1"/>
        <n v="69.298518000000001" u="1"/>
        <n v="10.046141" u="1"/>
        <n v="1725.3243190000001" u="1"/>
        <n v="28.514672000000001" u="1"/>
        <n v="239.37994499999999" u="1"/>
        <n v="8.1526499999999995" u="1"/>
        <n v="2438.208044" u="1"/>
        <n v="134.08613399999999" u="1"/>
        <n v="583.69579199999998" u="1"/>
        <n v="58.095666999999999" u="1"/>
        <n v="937.83625500000005" u="1"/>
        <n v="2.7262620000000002" u="1"/>
        <n v="1064.4995739999999" u="1"/>
        <n v="340.121174" u="1"/>
        <n v="551.24271499999998" u="1"/>
        <n v="49.872548000000002" u="1"/>
        <n v="6.6717529999999998" u="1"/>
        <n v="497.89336900000001" u="1"/>
        <n v="736.548452" u="1"/>
        <n v="1928.926911" u="1"/>
        <n v="13.339392999999999" u="1"/>
        <n v="208.92167699999999" u="1"/>
        <n v="353.92593099999999" u="1"/>
        <n v="4.1646400000000003" u="1"/>
        <n v="75.280016000000003" u="1"/>
        <n v="212.30459099999999" u="1"/>
        <n v="57.345055000000002" u="1"/>
        <n v="80.742694" u="1"/>
        <n v="274.620363" u="1"/>
        <n v="411.67002600000001" u="1"/>
        <n v="1258.845847" u="1"/>
        <n v="4.2508379999999999" u="1"/>
        <n v="302.01151199999998" u="1"/>
        <n v="24.441880000000001" u="1"/>
        <n v="502.56434999999999" u="1"/>
        <n v="29.485944" u="1"/>
        <n v="159.79298499999999" u="1"/>
        <n v="466.23762199999999" u="1"/>
        <n v="510.73677400000003" u="1"/>
        <n v="4.3900790000000001" u="1"/>
        <n v="339.66179" u="1"/>
        <n v="101.200619" u="1"/>
        <n v="29.236348" u="1"/>
        <n v="127.121512" u="1"/>
        <n v="154.344379" u="1"/>
        <n v="377.28455100000002" u="1"/>
        <n v="118.02737399999999" u="1"/>
        <n v="357.07210600000002" u="1"/>
        <n v="316.93951399999997" u="1"/>
        <n v="23.163368999999999" u="1"/>
        <n v="5127.5128489999997" u="1"/>
        <n v="109.605236" u="1"/>
        <n v="536.15627500000005" u="1"/>
        <n v="850.05212800000095" u="1"/>
        <n v="21.017040000000001" u="1"/>
        <n v="0.68901599999999996" u="1"/>
        <n v="749.12712099999999" u="1"/>
        <n v="57.609448999999998" u="1"/>
        <n v="139.30518799999999" u="1"/>
        <n v="6.2517069999999997" u="1"/>
        <n v="92.032137000000006" u="1"/>
        <n v="497.53207500000002" u="1"/>
        <n v="44.007190999999999" u="1"/>
        <n v="142.67245199999999" u="1"/>
        <n v="7.5284899999999997" u="1"/>
        <n v="10.061892" u="1"/>
        <n v="9.2851630000000007" u="1"/>
        <n v="139.917292" u="1"/>
        <n v="393.679982" u="1"/>
        <n v="960.56776200000002" u="1"/>
        <n v="20.338574000000001" u="1"/>
        <n v="68.236969999999999" u="1"/>
        <n v="60.496291999999997" u="1"/>
        <n v="611.03702599999997" u="1"/>
        <n v="804.36330899999996" u="1"/>
        <n v="4.2080900000000003" u="1"/>
        <n v="1278.9596369999999" u="1"/>
        <n v="101.64166899999999" u="1"/>
        <n v="24.548465" u="1"/>
        <n v="468.79767097455908" u="1"/>
        <n v="6.1450519999999997" u="1"/>
        <n v="46.312784000000001" u="1"/>
        <n v="479.33472399999999" u="1"/>
        <n v="13.342245999999999" u="1"/>
        <n v="17.406904000000001" u="1"/>
        <n v="234.44331299999999" u="1"/>
        <n v="585.77716199999998" u="1"/>
        <n v="762.41145100000006" u="1"/>
        <n v="1369.945518" u="1"/>
        <n v="132.51283799999999" u="1"/>
        <n v="150.97313800000001" u="1"/>
        <n v="66.280912999999998" u="1"/>
        <n v="74.738220999999996" u="1"/>
        <n v="1305.488615" u="1"/>
        <n v="3519.966504" u="1"/>
        <n v="290.75291399999998" u="1"/>
        <n v="90.065710999999993" u="1"/>
        <n v="622.58328100000006" u="1"/>
        <n v="413.47648900000002" u="1"/>
        <n v="599.87055899999996" u="1"/>
        <n v="156.97180900000001" u="1"/>
        <n v="494.32541500000002" u="1"/>
        <n v="31.419022999999999" u="1"/>
        <n v="15.982904" u="1"/>
        <n v="96.035600000000002" u="1"/>
        <n v="261.63952399999999" u="1"/>
        <n v="287.48307599999998" u="1"/>
        <n v="12.137774" u="1"/>
        <n v="49.040185000000001" u="1"/>
        <n v="535.30038100000002" u="1"/>
        <n v="2418.3319689999998" u="1"/>
        <n v="14.014099" u="1"/>
        <n v="191.33720600000001" u="1"/>
        <n v="219.220902" u="1"/>
        <n v="345.142945" u="1"/>
        <n v="136.493088" u="1"/>
        <n v="23.237103000000001" u="1"/>
        <n v="12.216554" u="1"/>
        <n v="34.987730513857301" u="1"/>
        <n v="193.01641599999999" u="1"/>
        <n v="8.8237850000000009" u="1"/>
        <n v="22.053961999999999" u="1"/>
        <n v="24.718050000000002" u="1"/>
        <n v="41.105150999999999" u="1"/>
        <n v="299.54996899999998" u="1"/>
        <n v="36.116608999999997" u="1"/>
        <n v="139.52045799999999" u="1"/>
        <n v="593.99374999999998" u="1"/>
        <n v="17.833295" u="1"/>
        <n v="5.7936949999999996" u="1"/>
        <n v="19.779622" u="1"/>
        <n v="1424.312277" u="1"/>
        <n v="275.06836099999998" u="1"/>
        <n v="7088.6292239999902" u="1"/>
        <n v="286.81418500000001" u="1"/>
        <n v="547.86857399999997" u="1"/>
        <n v="432.55402900000001" u="1"/>
        <n v="436.63818900000001" u="1"/>
        <n v="555.96052399999996" u="1"/>
        <n v="599.12515699999904" u="1"/>
        <n v="33.088030000000003" u="1"/>
        <n v="485.56392099999999" u="1"/>
        <n v="552.12211100000002" u="1"/>
        <n v="0.98151299999999997" u="1"/>
        <n v="2044.1241849999999" u="1"/>
        <n v="109.558874" u="1"/>
        <n v="46.636614999999999" u="1"/>
        <n v="120.50240100000001" u="1"/>
        <n v="13.420349999999999" u="1"/>
        <n v="337.93686100000002" u="1"/>
        <n v="448.67424599999998" u="1"/>
        <n v="100.45682499999999" u="1"/>
        <n v="20.730429999999998" u="1"/>
        <n v="11.477506999999999" u="1"/>
        <n v="2" u="1"/>
        <n v="10.810637" u="1"/>
        <n v="1.9590019999999999" u="1"/>
        <n v="47.389560000000003" u="1"/>
        <n v="3.33941" u="1"/>
        <n v="44.618203000000001" u="1"/>
        <n v="54.670518000000001" u="1"/>
        <n v="60.379356999999999" u="1"/>
        <n v="111.085925" u="1"/>
        <n v="139.78037" u="1"/>
        <n v="5.9566600000000003" u="1"/>
        <n v="10.639227" u="1"/>
        <n v="0.39816000000000001" u="1"/>
        <n v="17.601959000000001" u="1"/>
        <n v="45.871350999999997" u="1"/>
        <n v="58.276878000000004" u="1"/>
        <n v="2.3284210000000001" u="1"/>
        <n v="1.645996" u="1"/>
        <n v="219.98281900000001" u="1"/>
        <n v="924.430161" u="1"/>
        <n v="23.019880000000001" u="1"/>
        <n v="1487.0424089999999" u="1"/>
        <n v="23.920455" u="1"/>
        <n v="99.721209999999999" u="1"/>
        <n v="109.42970099999999" u="1"/>
        <n v="128.96272300000001" u="1"/>
        <n v="319.32118400000002" u="1"/>
        <n v="590.23879699999998" u="1"/>
        <n v="31.364269" u="1"/>
        <n v="97.827539999999999" u="1"/>
        <n v="66.222531000000004" u="1"/>
        <n v="7.4037709999999999" u="1"/>
        <n v="190.44128799999999" u="1"/>
        <n v="1426.339999" u="1"/>
        <n v="51.428823999999999" u="1"/>
        <n v="0.94178099999999998" u="1"/>
        <n v="949.75808400000005" u="1"/>
        <n v="341.10104999999999" u="1"/>
        <n v="512.16320800000005" u="1"/>
        <n v="77.223060000000004" u="1"/>
        <n v="195.172246" u="1"/>
        <n v="525.15547300000003" u="1"/>
        <n v="1.9130879999999999" u="1"/>
        <n v="231.90015500000001" u="1"/>
        <n v="1467.984256" u="1"/>
        <n v="31.045005" u="1"/>
        <n v="207.99309199999999" u="1"/>
        <n v="2310.6694859999998" u="1"/>
        <n v="33.496513" u="1"/>
        <n v="267.78966400000002" u="1"/>
        <n v="1036.904839" u="1"/>
        <n v="18.103953000000001" u="1"/>
        <n v="28.868577999999999" u="1"/>
        <n v="481.53908699999999" u="1"/>
        <n v="608.44523700000002" u="1"/>
        <n v="26.628028" u="1"/>
        <n v="6.1583629999999996" u="1"/>
        <n v="173.27989500000001" u="1"/>
        <n v="1309.2970250000001" u="1"/>
        <n v="427.47587299999998" u="1"/>
      </sharedItems>
    </cacheField>
    <cacheField name="CF trees" numFmtId="0">
      <sharedItems containsSemiMixedTypes="0" containsString="0" containsNumber="1" minValue="0.47" maxValue="0.47"/>
    </cacheField>
    <cacheField name="Crown cover " numFmtId="0">
      <sharedItems containsSemiMixedTypes="0" containsString="0" containsNumber="1" minValue="0.5" maxValue="0.5"/>
    </cacheField>
    <cacheField name="BDRsf" numFmtId="0">
      <sharedItems containsSemiMixedTypes="0" containsString="0" containsNumber="1" minValue="0.1" maxValue="0.1"/>
    </cacheField>
    <cacheField name="bforest" numFmtId="0">
      <sharedItems containsSemiMixedTypes="0" containsString="0" containsNumber="1" containsInteger="1" minValue="300" maxValue="300"/>
    </cacheField>
    <cacheField name="wi" numFmtId="0">
      <sharedItems containsSemiMixedTypes="0" containsString="0" containsNumber="1" minValue="0" maxValue="0.4" count="1759">
        <n v="0.4"/>
        <n v="0.2"/>
        <n v="0" u="1"/>
        <n v="2.3927528014310571E-3" u="1"/>
        <n v="1.125909935027271E-4" u="1"/>
        <n v="5.8238781684156831E-4" u="1"/>
        <n v="2.4154843124734966E-3" u="1"/>
        <n v="2.8598332382869556E-5" u="1"/>
        <n v="1.9540055143146343E-4" u="1"/>
        <n v="2.0287627073757613E-4" u="1"/>
        <n v="9.5019646167518831E-5" u="1"/>
        <n v="1.3138213842976885E-4" u="1"/>
        <n v="1.1517068906186772E-2" u="1"/>
        <n v="4.9878457697863001E-3" u="1"/>
        <n v="1.133336508044823E-3" u="1"/>
        <n v="3.1339746299283984E-3" u="1"/>
        <n v="2.8153207449686351E-4" u="1"/>
        <n v="4.6903483246654282E-5" u="1"/>
        <n v="2.647983911978931E-4" u="1"/>
        <n v="0.05" u="1"/>
        <n v="3.2951198153013295E-5" u="1"/>
        <n v="0.11306521124694509" u="1"/>
        <n v="1.0942037160696619E-3" u="1"/>
        <n v="7.0273099925425149E-5" u="1"/>
        <n v="2.7483899793497528E-5" u="1"/>
        <n v="1.105866148704526E-3" u="1"/>
        <n v="5.4905426579516452E-4" u="1"/>
        <n v="1.6753768142078901E-6" u="1"/>
        <n v="4.1263298288027892E-4" u="1"/>
        <n v="2.8833268783032676E-3" u="1"/>
        <n v="6.408769287509606E-6" u="1"/>
        <n v="1.1326718755331126E-3" u="1"/>
        <n v="2.2340781005022025E-3" u="1"/>
        <n v="5.6335703806241865E-5" u="1"/>
        <n v="1.0550655657534091E-4" u="1"/>
        <n v="2.2085799096328287E-4" u="1"/>
        <n v="2.4048096716594447E-5" u="1"/>
        <n v="2.1193456259981899E-4" u="1"/>
        <n v="1.9253384138465514E-3" u="1"/>
        <n v="2.4160340948416624E-3" u="1"/>
        <n v="2.4320532129737492E-6" u="1"/>
        <n v="1.0748398427916666E-5" u="1"/>
        <n v="3.0553728986220714E-4" u="1"/>
        <n v="6.4387714808875551E-4" u="1"/>
        <n v="5.8175856920269902E-5" u="1"/>
        <n v="9.8874748370807601E-5" u="1"/>
        <n v="0.14338172417926376" u="1"/>
        <n v="5.7336573033799143E-6" u="1"/>
        <n v="1.4065247307425477E-4" u="1"/>
        <n v="1.630926645317788E-4" u="1"/>
        <n v="6.2978412286815847E-6" u="1"/>
        <n v="3.6735697469816679E-4" u="1"/>
        <n v="7.2060079205314796E-3" u="1"/>
        <n v="3.2608875219540888E-5" u="1"/>
        <n v="1.3545217250023947E-3" u="1"/>
        <n v="8.4836862803396966E-3" u="1"/>
        <n v="1.5530594535401933E-4" u="1"/>
        <n v="7.9076264563623396E-5" u="1"/>
        <n v="1.5652763899923477E-4" u="1"/>
        <n v="9.7483780213781233E-4" u="1"/>
        <n v="1.3967438573232014E-4" u="1"/>
        <n v="3.3221243596554937E-6" u="1"/>
        <n v="1.8299552063481232E-5" u="1"/>
        <n v="3.2557639535393807E-5" u="1"/>
        <n v="3.1297664783611079E-4" u="1"/>
        <n v="6.9443813943059914E-4" u="1"/>
        <n v="2.667677245247275E-6" u="1"/>
        <n v="1.7002636277821373E-4" u="1"/>
        <n v="7.2543506057784942E-6" u="1"/>
        <n v="1.3010048757979427E-4" u="1"/>
        <n v="2.5487551036655409E-4" u="1"/>
        <n v="6.1352173637546734E-4" u="1"/>
        <n v="1.4332357361382576E-4" u="1"/>
        <n v="3.6128131615674691E-4" u="1"/>
        <n v="4.6708076992440156E-4" u="1"/>
        <n v="1.7622687001717334E-6" u="1"/>
        <n v="6.1591711630914613E-4" u="1"/>
        <n v="2.4706082480759202E-5" u="1"/>
        <n v="1.0759336235091124E-4" u="1"/>
        <n v="3.5996336246464194E-4" u="1"/>
        <n v="2.375348626864168E-3" u="1"/>
        <n v="1.2427606342274192E-5" u="1"/>
        <n v="2.3648642786467349E-4" u="1"/>
        <n v="2.5076707950913825E-4" u="1"/>
        <n v="5.159453556440489E-4" u="1"/>
        <n v="2.6617058956374524E-5" u="1"/>
        <n v="6.1209305121618743E-5" u="1"/>
        <n v="6.0912393235297456E-5" u="1"/>
        <n v="5.8290971081530294E-4" u="1"/>
        <n v="7.3791135178695303E-5" u="1"/>
        <n v="6.1946244368299029E-4" u="1"/>
        <n v="1.2070005101634635E-3" u="1"/>
        <n v="2.9717342633255831E-4" u="1"/>
        <n v="9.2429549512663907E-5" u="1"/>
        <n v="1.2615313027527705E-4" u="1"/>
        <n v="2.1546258340928921E-5" u="1"/>
        <n v="4.0370405319997596E-4" u="1"/>
        <n v="4.719373733730416E-4" u="1"/>
        <n v="3.7542011083869895E-3" u="1"/>
        <n v="6.3448156668925043E-4" u="1"/>
        <n v="3.9363207790878472E-4" u="1"/>
        <n v="3.0621085023452895E-5" u="1"/>
        <n v="1.3891948515733021E-4" u="1"/>
        <n v="7.7800480268534452E-4" u="1"/>
        <n v="1.024733673550624E-3" u="1"/>
        <n v="1.4782311300445662E-6" u="1"/>
        <n v="2.6638506943259748E-5" u="1"/>
        <n v="6.1298341806271118E-4" u="1"/>
        <n v="1.660450844775455E-3" u="1"/>
        <n v="2.4407784704519493E-4" u="1"/>
        <n v="5.6206560962096807E-6" u="1"/>
        <n v="1.6153705102771941E-4" u="1"/>
        <n v="2.0901671516469021E-4" u="1"/>
        <n v="3.0989457325801111E-4" u="1"/>
        <n v="1.0406421073325437E-4" u="1"/>
        <n v="5.3000991406832625E-4" u="1"/>
        <n v="8.134930599896992E-5" u="1"/>
        <n v="1.907197252915974E-4" u="1"/>
        <n v="7.5133068828200011E-4" u="1"/>
        <n v="3.3044577563530785E-5" u="1"/>
        <n v="8.8266761225627103E-4" u="1"/>
        <n v="8.6635894386414711E-6" u="1"/>
        <n v="2.2623569227069858E-5" u="1"/>
        <n v="3.9501311964957942E-5" u="1"/>
        <n v="6.0276495599433944E-6" u="1"/>
        <n v="4.0586629980389575E-4" u="1"/>
        <n v="3.9084884522712837E-3" u="1"/>
        <n v="4.7257470076638251E-5" u="1"/>
        <n v="2.6907481855890198E-4" u="1"/>
        <n v="3.3349296575568371E-4" u="1"/>
        <n v="8.3097745532414069E-4" u="1"/>
        <n v="4.8500647452675837E-5" u="1"/>
        <n v="3.2567420376318669E-4" u="1"/>
        <n v="4.4140306293045046E-3" u="1"/>
        <n v="1.658379954800167E-4" u="1"/>
        <n v="1.3118462555788973E-4" u="1"/>
        <n v="1.2670028221462934E-5" u="1"/>
        <n v="1.6218839443109462E-3" u="1"/>
        <n v="2.9116944413303892E-5" u="1"/>
        <n v="2.831975876092018E-7" u="1"/>
        <n v="1.3245809429575508E-5" u="1"/>
        <n v="6.3484093135701846E-5" u="1"/>
        <n v="7.4208658481305105E-5" u="1"/>
        <n v="3.5258952637658836E-4" u="1"/>
        <n v="6.9973399687078082E-4" u="1"/>
        <n v="2.2800755935524436E-3" u="1"/>
        <n v="4.53626466110686E-5" u="1"/>
        <n v="2.6321785279671936E-4" u="1"/>
        <n v="6.127479175094925E-4" u="1"/>
        <n v="1.7941129573396112E-4" u="1"/>
        <n v="4.7151957224255836E-5" u="1"/>
        <n v="5.5818698628245187E-5" u="1"/>
        <n v="1.7428550307154148E-5" u="1"/>
        <n v="2.7690673919436419E-4" u="1"/>
        <n v="2.7669860874849104E-4" u="1"/>
        <n v="9.7986072050028502E-4" u="1"/>
        <n v="8.1548004919665502E-7" u="1"/>
        <n v="1.0157300942827573E-5" u="1"/>
        <n v="2.1298854894238563E-4" u="1"/>
        <n v="4.8482556146413665E-6" u="1"/>
        <n v="1.7060513997813122E-4" u="1"/>
        <n v="7.4212384624258113E-4" u="1"/>
        <n v="4.6001664042736749E-4" u="1"/>
        <n v="1.0453591388310758E-3" u="1"/>
        <n v="2.1677472708691786E-5" u="1"/>
        <n v="9.0103915195884898E-3" u="1"/>
        <n v="8.7511328390921684E-6" u="1"/>
        <n v="3.7865947238699632E-5" u="1"/>
        <n v="2.1486573764925126E-4" u="1"/>
        <n v="1.9496385800558581E-4" u="1"/>
        <n v="5.2134140496418294E-6" u="1"/>
        <n v="1.1091323662973669E-3" u="1"/>
        <n v="1.9799034588757881E-5" u="1"/>
        <n v="1.8206673717970588E-4" u="1"/>
        <n v="6.4522595367260825E-4" u="1"/>
        <n v="1.5432001709210077E-4" u="1"/>
        <n v="5.837066576331989E-4" u="1"/>
        <n v="1.0545257510694749E-5" u="1"/>
        <n v="6.717853430361875E-4" u="1"/>
        <n v="3.3767217610712785E-5" u="1"/>
        <n v="3.9442542271267238E-4" u="1"/>
        <n v="7.4728508714209344E-4" u="1"/>
        <n v="1.0102926291127868E-6" u="1"/>
        <n v="1.1456299137758757E-4" u="1"/>
        <n v="1.5019442443325551E-3" u="1"/>
        <n v="5.8524943581444998E-5" u="1"/>
        <n v="6.497997039752132E-5" u="1"/>
        <n v="5.1067866363168151E-6" u="1"/>
        <n v="1.127087892716198E-5" u="1"/>
        <n v="1.2042058753283975E-4" u="1"/>
        <n v="3.4146897832455173E-5" u="1"/>
        <n v="2.5421780145542814E-3" u="1"/>
        <n v="4.9142302137000012E-4" u="1"/>
        <n v="3.1311688754794969E-6" u="1"/>
        <n v="3.9872423227709999E-4" u="1"/>
        <n v="1.2324265746422764E-6" u="1"/>
        <n v="1.7725488725224986E-3" u="1"/>
        <n v="7.0902696880041723E-6" u="1"/>
        <n v="7.8236830715089952E-4" u="1"/>
        <n v="1.5309527871334824E-5" u="1"/>
        <n v="3.3013197636350933E-6" u="1"/>
        <n v="9.4870999969130234E-4" u="1"/>
        <n v="1.0934317266433681E-5" u="1"/>
        <n v="5.2167749545483349E-5" u="1"/>
        <n v="1.9909857706636512E-3" u="1"/>
        <n v="3.2487915706048364E-3" u="1"/>
        <n v="2.8974189628084337E-5" u="1"/>
        <n v="7.9642349416480227E-5" u="1"/>
        <n v="7.4495027530955061E-6" u="1"/>
        <n v="9.9869152819952916E-5" u="1"/>
        <n v="1.4952685913151984E-4" u="1"/>
        <n v="2.0952888353812987E-4" u="1"/>
        <n v="6.6588388744559198E-4" u="1"/>
        <n v="2.350954541835841E-4" u="1"/>
        <n v="2.3719730003298194E-4" u="1"/>
        <n v="4.6328483530981057E-5" u="1"/>
        <n v="1.2136868083751295E-3" u="1"/>
        <n v="2.2664429973565732E-3" u="1"/>
        <n v="7.194533468510404E-4" u="1"/>
        <n v="3.4493645052957893E-4" u="1"/>
        <n v="1.5834286096095933E-2" u="1"/>
        <n v="1.3401547387524391E-5" u="1"/>
        <n v="4.2888537406842361E-5" u="1"/>
        <n v="2.4696317562133524E-4" u="1"/>
        <n v="1.1833787931222166E-4" u="1"/>
        <n v="2.5212721917044822E-5" u="1"/>
        <n v="7.0451765994193239E-5" u="1"/>
        <n v="1.790536289031973E-4" u="1"/>
        <n v="4.9797380131895127E-4" u="1"/>
        <n v="5.7059154590902515E-5" u="1"/>
        <n v="8.2565532446558746E-5" u="1"/>
        <n v="6.9277692371431498E-4" u="1"/>
        <n v="8.3307952684775841E-3" u="1"/>
        <n v="1.8375230832720002E-3" u="1"/>
        <n v="3.6066233190195116E-4" u="1"/>
        <n v="3.1369343725070634E-5" u="1"/>
        <n v="1.4747369652422709E-4" u="1"/>
        <n v="8.1976022317214445E-6" u="1"/>
        <n v="7.6775117020775349E-6" u="1"/>
        <n v="1.0522129558773594E-4" u="1"/>
        <n v="8.2538891840471565E-6" u="1"/>
        <n v="2.6864397251616194E-5" u="1"/>
        <n v="3.2862176253353023E-5" u="1"/>
        <n v="1.1762567974407341E-4" u="1"/>
        <n v="2.0409463369775902E-4" u="1"/>
        <n v="1.1568090705114144E-3" u="1"/>
        <n v="8.1029145931121435E-5" u="1"/>
        <n v="9.950068644606158E-5" u="1"/>
        <n v="6.9064402450734291E-6" u="1"/>
        <n v="1.5131721346766556E-3" u="1"/>
        <n v="1.2724056806864135E-5" u="1"/>
        <n v="1.2257471538890214E-4" u="1"/>
        <n v="2.4934978529266973E-5" u="1"/>
        <n v="3.5420142358352465E-5" u="1"/>
        <n v="5.5332352974626681E-4" u="1"/>
        <n v="2.8686322582531941E-5" u="1"/>
        <n v="1.0780576094779924E-4" u="1"/>
        <n v="1.6729053159357843E-4" u="1"/>
        <n v="3.0802811098167476E-4" u="1"/>
        <n v="9.6038678514157028E-4" u="1"/>
        <n v="3.9037756970473885E-5" u="1"/>
        <n v="3.0931952967477893E-4" u="1"/>
        <n v="9.8997144709328522E-4" u="1"/>
        <n v="2.3870747324485081E-4" u="1"/>
        <n v="2.5125483964782472E-5" u="1"/>
        <n v="2.8850760939675606E-4" u="1"/>
        <n v="1.9691801640646706E-4" u="1"/>
        <n v="9.5605224463800342E-4" u="1"/>
        <n v="2.029111811908905E-5" u="1"/>
        <n v="6.7663922507144729E-6" u="1"/>
        <n v="1.0239487626911285E-5" u="1"/>
        <n v="2.5852833096935935E-3" u="1"/>
        <n v="1.9212991296351358E-4" u="1"/>
        <n v="1.9209668572468396E-4" u="1"/>
        <n v="2.3751886694969365E-3" u="1"/>
        <n v="3.4929091177908944E-4" u="1"/>
        <n v="1.9263317930945964E-3" u="1"/>
        <n v="4.0097841391154021E-4" u="1"/>
        <n v="8.9704626890163759E-4" u="1"/>
        <n v="1.0419602949849631E-5" u="1"/>
        <n v="9.0967144823059386E-5" u="1"/>
        <n v="2.1848286484405085E-5" u="1"/>
        <n v="3.8813886194554252E-6" u="1"/>
        <n v="2.7030788365023584E-4" u="1"/>
        <n v="1.673236870195893E-3" u="1"/>
        <n v="5.0980522803819404E-5" u="1"/>
        <n v="1.204570089798518E-4" u="1"/>
        <n v="3.844579691919758E-4" u="1"/>
        <n v="4.5222875632220879E-4" u="1"/>
        <n v="2.2633253884309871E-4" u="1"/>
        <n v="1.0058818272950452E-5" u="1"/>
        <n v="1.9355360745683516E-3" u="1"/>
        <n v="2.2769048675118483E-5" u="1"/>
        <n v="5.9568421206552841E-5" u="1"/>
        <n v="1.0178302292973555E-4" u="1"/>
        <n v="3.1829582169624481E-4" u="1"/>
        <n v="1.1241770234723934E-3" u="1"/>
        <n v="3.7313745655893121E-7" u="1"/>
        <n v="3.1082407646602942E-6" u="1"/>
        <n v="9.4683865999229888E-5" u="1"/>
        <n v="1.8030727600330793E-4" u="1"/>
        <n v="5.0609394481461077E-4" u="1"/>
        <n v="9.3921736537939742E-4" u="1"/>
        <n v="1.8409327039150983E-3" u="1"/>
        <n v="1.7708176588046253E-4" u="1"/>
        <n v="4.7773219342669006E-5" u="1"/>
        <n v="1.0424390249054003E-3" u="1"/>
        <n v="5.5260317243687536E-4" u="1"/>
        <n v="8.321240639556516E-4" u="1"/>
        <n v="2.828142176383331E-5" u="1"/>
        <n v="2.3850698485269437E-3" u="1"/>
        <n v="1.018572110955679E-4" u="1"/>
        <n v="1.1022302591922846E-5" u="1"/>
        <n v="1.5283795161245774E-4" u="1"/>
        <n v="4.6423466544487396E-4" u="1"/>
        <n v="2.8698902661136104E-4" u="1"/>
        <n v="1.2303820052023674E-4" u="1"/>
        <n v="7.7711801835613631E-4" u="1"/>
        <n v="1.7218879622544027E-5" u="1"/>
        <n v="1.3827540378463305E-5" u="1"/>
        <n v="9.0196663628432019E-4" u="1"/>
        <n v="1.7519616695018108E-3" u="1"/>
        <n v="7.9025820282734548E-4" u="1"/>
        <n v="3.905282141516745E-5" u="1"/>
        <n v="6.146470529936359E-6" u="1"/>
        <n v="3.510015126184221E-5" u="1"/>
        <n v="9.9276676918677673E-4" u="1"/>
        <n v="1.44923581087558E-5" u="1"/>
        <n v="7.0778189293391114E-3" u="1"/>
        <n v="3.6112468784982348E-4" u="1"/>
        <n v="4.7115860072235245E-4" u="1"/>
        <n v="6.9035132715613114E-4" u="1"/>
        <n v="2.5519510178086043E-4" u="1"/>
        <n v="1.3111067135237184E-4" u="1"/>
        <n v="3.0961624659417149E-4" u="1"/>
        <n v="1.2160512421830448E-3" u="1"/>
        <n v="2.6875743189561471E-4" u="1"/>
        <n v="4.2243103288604666E-4" u="1"/>
        <n v="1.1524206736432331E-3" u="1"/>
        <n v="4.6984567230283562E-4" u="1"/>
        <n v="2.3384671862535316E-4" u="1"/>
        <n v="6.6048072345728355E-5" u="1"/>
        <n v="3.4409211050075633E-4" u="1"/>
        <n v="6.5043600454272948E-4" u="1"/>
        <n v="2.9160188662998038E-3" u="1"/>
        <n v="1.2859992557137512E-2" u="1"/>
        <n v="6.6759965815798487E-4" u="1"/>
        <n v="8.0303240187883139E-5" u="1"/>
        <n v="3.4658409817234752E-6" u="1"/>
        <n v="1.1940966288593297E-4" u="1"/>
        <n v="2.3425011982342495E-4" u="1"/>
        <n v="7.5245510480284781E-5" u="1"/>
        <n v="3.1161908661243338E-4" u="1"/>
        <n v="6.5592498972361806E-4" u="1"/>
        <n v="5.2057614027220631E-4" u="1"/>
        <n v="8.4382458662949288E-4" u="1"/>
        <n v="4.5426070977710405E-5" u="1"/>
        <n v="1.5085830940926647E-5" u="1"/>
        <n v="2.4226741176527935E-4" u="1"/>
        <n v="2.0421356027483838E-5" u="1"/>
        <n v="5.7588969096117073E-5" u="1"/>
        <n v="1.1962316320844077E-3" u="1"/>
        <n v="3.9278096765336181E-4" u="1"/>
        <n v="1.0467709512273981E-3" u="1"/>
        <n v="4.3238901101400672E-5" u="1"/>
        <n v="1.1654779857966592E-4" u="1"/>
        <n v="1.6017167163019972E-4" u="1"/>
        <n v="2.5793234485100468E-4" u="1"/>
        <n v="2.1480038473473939E-4" u="1"/>
        <n v="3.9381932171685804E-3" u="1"/>
        <n v="5.7506990376757346E-6" u="1"/>
        <n v="1.957831919010738E-4" u="1"/>
        <n v="4.773044587311877E-4" u="1"/>
        <n v="6.8777680835888205E-5" u="1"/>
        <n v="2.2524209206013431E-5" u="1"/>
        <n v="1.4769148904367113E-3" u="1"/>
        <n v="3.7039357324013913E-5" u="1"/>
        <n v="2.3274023110079951E-3" u="1"/>
        <n v="1.2729099951420741E-5" u="1"/>
        <n v="4.837016096144691E-4" u="1"/>
        <n v="1.037581311769991E-3" u="1"/>
        <n v="1.1966882462562287E-3" u="1"/>
        <n v="2.5326604147271519E-3" u="1"/>
        <n v="4.8269229831889768E-6" u="1"/>
        <n v="1.8442275978937075E-4" u="1"/>
        <n v="5.2641509921379584E-4" u="1"/>
        <n v="3.249448812245223E-6" u="1"/>
        <n v="1.6945399836552726E-4" u="1"/>
        <n v="4.5831184635306237E-6" u="1"/>
        <n v="7.7831028661763251E-5" u="1"/>
        <n v="8.8867055300744608E-4" u="1"/>
        <n v="4.8691365970797203E-3" u="1"/>
        <n v="7.4514703105985644E-4" u="1"/>
        <n v="1.3279572697481189E-3" u="1"/>
        <n v="2.3141149183819694E-3" u="1"/>
        <n v="1.2601204083257378E-4" u="1"/>
        <n v="3.5662505747462586E-6" u="1"/>
        <n v="1.5351210647143979E-3" u="1"/>
        <n v="2.0754814464596442E-6" u="1"/>
        <n v="1.5603138317662866E-4" u="1"/>
        <n v="2.4725401916199965E-4" u="1"/>
        <n v="1.5396522114936253E-5" u="1"/>
        <n v="6.1134077132166459E-5" u="1"/>
        <n v="8.9561749275779087E-4" u="1"/>
        <n v="1.045840949228987E-5" u="1"/>
        <n v="1.878967455145421E-5" u="1"/>
        <n v="2.418555652497445E-5" u="1"/>
        <n v="1.5428244858965796E-4" u="1"/>
        <n v="3.5428732877435666E-3" u="1"/>
        <n v="2.5252311576648809E-6" u="1"/>
        <n v="4.2509212024910274E-4" u="1"/>
        <n v="2.5493155718461255E-3" u="1"/>
        <n v="1.5600174820346099E-5" u="1"/>
        <n v="3.9454577092360707E-4" u="1"/>
        <n v="5.299959869307169E-6" u="1"/>
        <n v="3.2166911187689787E-6" u="1"/>
        <n v="1.2866582505942428E-6" u="1"/>
        <n v="4.4618240618435096E-4" u="1"/>
        <n v="3.0744104281311277E-5" u="1"/>
        <n v="1.968736110637233E-4" u="1"/>
        <n v="6.0266792095390817E-4" u="1"/>
        <n v="4.2055876709413162E-4" u="1"/>
        <n v="4.4116729949682285E-5" u="1"/>
        <n v="6.9453048389166985E-4" u="1"/>
        <n v="2.0778934635712416E-4" u="1"/>
        <n v="2.3373397412463911E-5" u="1"/>
        <n v="5.0413904066522717E-4" u="1"/>
        <n v="8.1922503895276751E-6" u="1"/>
        <n v="5.724688061037646E-4" u="1"/>
        <n v="2.2732703915098401E-4" u="1"/>
        <n v="2.4118972849230449E-3" u="1"/>
        <n v="8.8148613541428041E-5" u="1"/>
        <n v="1.5988102143173964E-4" u="1"/>
        <n v="3.6949014198466582E-4" u="1"/>
        <n v="4.1330051552505409E-4" u="1"/>
        <n v="5.5377334119699947E-6" u="1"/>
        <n v="9.4131576681305431E-6" u="1"/>
        <n v="2.2938810929196135E-4" u="1"/>
        <n v="1.5195270914671098E-4" u="1"/>
        <n v="2.7240368877429167E-4" u="1"/>
        <n v="3.0986122254012661E-4" u="1"/>
        <n v="5.1047253484627671E-5" u="1"/>
        <n v="5.7582772397232124E-5" u="1"/>
        <n v="1.2665112292827328E-4" u="1"/>
        <n v="1.8487129095727138E-4" u="1"/>
        <n v="3.2921034494523869E-4" u="1"/>
        <n v="1.0768821701118947E-4" u="1"/>
        <n v="2.661987346646325E-4" u="1"/>
        <n v="6.1888607269991835E-5" u="1"/>
        <n v="7.2881369122762557E-5" u="1"/>
        <n v="2.1498023522759953E-4" u="1"/>
        <n v="8.034127774826195E-4" u="1"/>
        <n v="1.7637390757592741E-6" u="1"/>
        <n v="1.8077044431338335E-5" u="1"/>
        <n v="7.7377449637605221E-4" u="1"/>
        <n v="1.0927474252179973E-3" u="1"/>
        <n v="4.1214694332473849E-5" u="1"/>
        <n v="9.7250378154605522E-5" u="1"/>
        <n v="3.8279388258766607E-4" u="1"/>
        <n v="4.2900016084771623E-5" u="1"/>
        <n v="1.0839759930721751E-5" u="1"/>
        <n v="3.1710111147396621E-4" u="1"/>
        <n v="2.8687497258277569E-5" u="1"/>
        <n v="5.91434826617535E-5" u="1"/>
        <n v="1.6837486128915382E-4" u="1"/>
        <n v="9.85534428722528E-6" u="1"/>
        <n v="9.8791351267041323E-6" u="1"/>
        <n v="9.4212977323721459E-4" u="1"/>
        <n v="1.6013909623080185E-3" u="1"/>
        <n v="3.1359848185751488E-4" u="1"/>
        <n v="1.7202785102576974E-5" u="1"/>
        <n v="6.9834193624906374E-5" u="1"/>
        <n v="1.2542597836841927E-4" u="1"/>
        <n v="2.900373540388212E-4" u="1"/>
        <n v="5.1493936366043907E-4" u="1"/>
        <n v="1.1549844465132601E-3" u="1"/>
        <n v="1.0354039471054723E-4" u="1"/>
        <n v="1.0511344150748429E-4" u="1"/>
        <n v="3.0178681503649946E-4" u="1"/>
        <n v="7.6994974727411864E-5" u="1"/>
        <n v="1.4962744419477848E-4" u="1"/>
        <n v="2.5430802987543239E-4" u="1"/>
        <n v="8.0478922677740799E-3" u="1"/>
        <n v="1.5609787339822484E-4" u="1"/>
        <n v="4.7501008141494001E-5" u="1"/>
        <n v="1.3742373949818762E-6" u="1"/>
        <n v="2.7990609255405054E-4" u="1"/>
        <n v="1.9540833386136877E-5" u="1"/>
        <n v="5.5542058428339096E-5" u="1"/>
        <n v="1.7717638170625306E-4" u="1"/>
        <n v="2.6893910207980971E-4" u="1"/>
        <n v="3.5055567199413795E-5" u="1"/>
        <n v="3.2431398449038082E-5" u="1"/>
        <n v="2.286616267715589E-4" u="1"/>
        <n v="3.3651023820084516E-5" u="1"/>
        <n v="2.7048302244231821E-4" u="1"/>
        <n v="8.4185097215384831E-4" u="1"/>
        <n v="5.6930018716825157E-3" u="1"/>
        <n v="7.8040923558341418E-6" u="1"/>
        <n v="1.9848533442514815E-5" u="1"/>
        <n v="5.9708069518707885E-4" u="1"/>
        <n v="1.3068686995218435E-3" u="1"/>
        <n v="8.5908123459558174E-5" u="1"/>
        <n v="2.1257500946401965E-5" u="1"/>
        <n v="3.4707197041701801E-5" u="1"/>
        <n v="1.2909883393529373E-3" u="1"/>
        <n v="6.9338408972378064E-5" u="1"/>
        <n v="1.5657273598715818E-3" u="1"/>
        <n v="0.33333333333333331" u="1"/>
        <n v="3.8864147044057654E-5" u="1"/>
        <n v="1.0199923199277323E-3" u="1"/>
        <n v="5.5741524056481917E-4" u="1"/>
        <n v="6.5066394687801079E-4" u="1"/>
        <n v="1.5430951389870495E-3" u="1"/>
        <n v="5.3150651433250633E-4" u="1"/>
        <n v="4.7913985465215466E-5" u="1"/>
        <n v="5.955818641762891E-4" u="1"/>
        <n v="3.3448795559303255E-3" u="1"/>
        <n v="5.5852494358144499E-4" u="1"/>
        <n v="2.5818808947032358E-4" u="1"/>
        <n v="6.138458039055126E-5" u="1"/>
        <n v="9.175265033168748E-5" u="1"/>
        <n v="9.6396065567378123E-5" u="1"/>
        <n v="1.5986578151681023E-5" u="1"/>
        <n v="1.8526723954449226E-4" u="1"/>
        <n v="7.3343022718521207E-3" u="1"/>
        <n v="5.4413222007217025E-4" u="1"/>
        <n v="2.3312255133722942E-4" u="1"/>
        <n v="1.9830214171171214E-3" u="1"/>
        <n v="7.7280971715172809E-5" u="1"/>
        <n v="2.3040624284105811E-4" u="1"/>
        <n v="2.0653742308960842E-4" u="1"/>
        <n v="1.4979681196577033E-5" u="1"/>
        <n v="1.1568015350396188E-4" u="1"/>
        <n v="2.2297361934981778E-4" u="1"/>
        <n v="2.8654629246014149E-4" u="1"/>
        <n v="7.4857027501710034E-5" u="1"/>
        <n v="2.3693137164108538E-4" u="1"/>
        <n v="6.4616144561478761E-4" u="1"/>
        <n v="3.3273414959487496E-4" u="1"/>
        <n v="5.6298465447798417E-4" u="1"/>
        <n v="6.7396581579849527E-4" u="1"/>
        <n v="3.4790246454445167E-5" u="1"/>
        <n v="1.842769147783307E-4" u="1"/>
        <n v="1.6029085637598722E-3" u="1"/>
        <n v="3.0220608329312141E-5" u="1"/>
        <n v="6.6784542047055261E-5" u="1"/>
        <n v="3.8346955997588911E-4" u="1"/>
        <n v="1.256245079928317E-3" u="1"/>
        <n v="1.4318239773578407E-3" u="1"/>
        <n v="3.4128960875011575E-6" u="1"/>
        <n v="7.9676785450268005E-5" u="1"/>
        <n v="1.5794433093036593E-3" u="1"/>
        <n v="7.7849137839993888E-5" u="1"/>
        <n v="7.0655491812201364E-5" u="1"/>
        <n v="2.0885148556676076E-4" u="1"/>
        <n v="9.3106100352727673E-4" u="1"/>
        <n v="9.6570075175998272E-5" u="1"/>
        <n v="1.5946881260266227E-6" u="1"/>
        <n v="9.8289802092320087E-5" u="1"/>
        <n v="5.7503209805536738E-4" u="1"/>
        <n v="1.4836695700491805E-5" u="1"/>
        <n v="1.7798037820334728E-4" u="1"/>
        <n v="2.7219626508353519E-4" u="1"/>
        <n v="2.9663786030294612E-5" u="1"/>
        <n v="3.3472227773363939E-5" u="1"/>
        <n v="1.4317146106591671E-3" u="1"/>
        <n v="1.7936515518555164E-5" u="1"/>
        <n v="4.95485622001368E-5" u="1"/>
        <n v="6.5583415788096944E-5" u="1"/>
        <n v="6.6741054218678163E-3" u="1"/>
        <n v="1.938177733476959E-3" u="1"/>
        <n v="3.9614161162912741E-3" u="1"/>
        <n v="2.6956942691096019E-4" u="1"/>
        <n v="7.341650183837567E-4" u="1"/>
        <n v="2.3296068410645844E-3" u="1"/>
        <n v="5.0057529866496395E-5" u="1"/>
        <n v="4.0885858236296666E-5" u="1"/>
        <n v="4.46699664819355E-5" u="1"/>
        <n v="3.8202797125537583E-4" u="1"/>
        <n v="2.5991642417654906E-6" u="1"/>
        <n v="2.4472373998560493E-5" u="1"/>
        <n v="1.0117955804246704E-4" u="1"/>
        <n v="2.4827816142936753E-3" u="1"/>
        <n v="1.2288494514118043E-4" u="1"/>
        <n v="5.6158041817156759E-5" u="1"/>
        <n v="5.6172662549615023E-4" u="1"/>
        <n v="6.5831477085699333E-6" u="1"/>
        <n v="1.3138134069008545E-5" u="1"/>
        <n v="4.1905717242712702E-4" u="1"/>
        <n v="9.8855582634295664E-4" u="1"/>
        <n v="5.0067241981578876E-4" u="1"/>
        <n v="2.9497573474099458E-5" u="1"/>
        <n v="1.1011010757300292E-5" u="1"/>
        <n v="1.0314779143087852E-3" u="1"/>
        <n v="7.5750764351596863E-4" u="1"/>
        <n v="2.0908335648565612E-4" u="1"/>
        <n v="7.1912983010256886E-6" u="1"/>
        <n v="2.923318873286119E-4" u="1"/>
        <n v="1.6846845987499371E-3" u="1"/>
        <n v="1.0593557870246259E-3" u="1"/>
        <n v="4.7116635715666727E-5" u="1"/>
        <n v="4.4599619327071642E-4" u="1"/>
        <n v="5.3084318322504541E-4" u="1"/>
        <n v="1.7374933475659191E-3" u="1"/>
        <n v="4.2484073639008982E-5" u="1"/>
        <n v="4.2013607066901277E-5" u="1"/>
        <n v="8.3155980041885386E-5" u="1"/>
        <n v="1.012934430997142E-6" u="1"/>
        <n v="8.441829667142712E-5" u="1"/>
        <n v="3.2727069208385529E-4" u="1"/>
        <n v="5.0605598962775945E-4" u="1"/>
        <n v="4.1838229440331184E-5" u="1"/>
        <n v="9.2320777463122822E-5" u="1"/>
        <n v="2.362716003047983E-4" u="1"/>
        <n v="5.4815694837763147E-4" u="1"/>
        <n v="8.6719007650827226E-4" u="1"/>
        <n v="1.912337312283404E-4" u="1"/>
        <n v="1.1982383113264412E-4" u="1"/>
        <n v="4.3821299812019386E-4" u="1"/>
        <n v="4.3263206978516272E-5" u="1"/>
        <n v="1.0150362394778785E-4" u="1"/>
        <n v="2.3417251973633974E-5" u="1"/>
        <n v="2.8884803790157097E-5" u="1"/>
        <n v="1.1498751399293895E-5" u="1"/>
        <n v="9.4525071772200641E-4" u="1"/>
        <n v="1.2488102955536167E-6" u="1"/>
        <n v="6.8099068383025525E-4" u="1"/>
        <n v="8.6970964550138182E-5" u="1"/>
        <n v="1.2447262583084343E-4" u="1"/>
        <n v="1.1094715421396646E-4" u="1"/>
        <n v="1.1090638500444362E-5" u="1"/>
        <n v="1.5301345759225592E-6" u="1"/>
        <n v="8.3784324333984836E-6" u="1"/>
        <n v="2.3215251612945154E-5" u="1"/>
        <n v="2.6478419598075675E-5" u="1"/>
        <n v="2.3592412537023409E-4" u="1"/>
        <n v="1.6963333544547506E-4" u="1"/>
        <n v="2.4636489035547349E-4" u="1"/>
        <n v="6.2041604317867582E-5" u="1"/>
        <n v="1.5017737928703844E-4" u="1"/>
        <n v="1.1229895254017536E-5" u="1"/>
        <n v="4.0814602698017347E-5" u="1"/>
        <n v="9.6103366104024601E-4" u="1"/>
        <n v="6.6382897825956275E-4" u="1"/>
        <n v="4.7907434901354855E-4" u="1"/>
        <n v="6.5149383660796542E-5" u="1"/>
        <n v="4.0845292117324598E-5" u="1"/>
        <n v="1.7800297649511203E-4" u="1"/>
        <n v="3.4559858648976665E-3" u="1"/>
        <n v="1.293827931937045E-4" u="1"/>
        <n v="2.8830384783481099E-4" u="1"/>
        <n v="3.836541839090544E-5" u="1"/>
        <n v="3.2855696852421404E-6" u="1"/>
        <n v="3.292130013696427E-4" u="1"/>
        <n v="6.8057042611646993E-4" u="1"/>
        <n v="1.0868784868616661E-3" u="1"/>
        <n v="4.5058701780210529E-4" u="1"/>
        <n v="2.1139001688088655E-3" u="1"/>
        <n v="5.5801408148642786E-4" u="1"/>
        <n v="9.5066187210494425E-4" u="1"/>
        <n v="7.1326684961063479E-6" u="1"/>
        <n v="8.3293386234359996E-5" u="1"/>
        <n v="2.9125598020435781E-4" u="1"/>
        <n v="3.1287635522324526E-4" u="1"/>
        <n v="3.0646587770049505E-3" u="1"/>
        <n v="4.4168490744757419E-4" u="1"/>
        <n v="5.1034743561623359E-3" u="1"/>
        <n v="1.2114315609214788E-5" u="1"/>
        <n v="3.0384719791905299E-4" u="1"/>
        <n v="8.9995099831191138E-4" u="1"/>
        <n v="2.0319912963513561E-3" u="1"/>
        <n v="2.5736432495138015E-4" u="1"/>
        <n v="2.2336730144649215E-4" u="1"/>
        <n v="9.8268956878189547E-5" u="1"/>
        <n v="2.1715231628834959E-4" u="1"/>
        <n v="1.9155916677633555E-5" u="1"/>
        <n v="2.72592345273433E-5" u="1"/>
        <n v="6.3578421385272521E-5" u="1"/>
        <n v="3.7586081960847391E-4" u="1"/>
        <n v="7.0661004177166445E-4" u="1"/>
        <n v="8.3361034234567962E-4" u="1"/>
        <n v="6.1122483261276807E-4" u="1"/>
        <n v="1.6586615195397479E-4" u="1"/>
        <n v="6.2233443652120506E-6" u="1"/>
        <n v="8.9308187798644645E-4" u="1"/>
        <n v="1.1036985096403024E-3" u="1"/>
        <n v="2.2664128148512808E-3" u="1"/>
        <n v="2.9219670863329809E-5" u="1"/>
        <n v="8.3891884339118983E-5" u="1"/>
        <n v="2.9530208500883038E-4" u="1"/>
        <n v="2.8156216601758928E-4" u="1"/>
        <n v="5.4814925855701732E-4" u="1"/>
        <n v="3.8892643897778836E-4" u="1"/>
        <n v="3.7464837860627892E-3" u="1"/>
        <n v="3.0243611177454026E-6" u="1"/>
        <n v="9.697054634607604E-4" u="1"/>
        <n v="1.0963048892831554E-5" u="1"/>
        <n v="2.0994518212348228E-3" u="1"/>
        <n v="7.9793734737745119E-5" u="1"/>
        <n v="1.6488187441205285E-4" u="1"/>
        <n v="2.2668229326600474E-4" u="1"/>
        <n v="5.7301230891210078E-4" u="1"/>
        <n v="3.3317040596988736E-5" u="1"/>
        <n v="1.2904818721374402E-3" u="1"/>
        <n v="3.4154265957636934E-5" u="1"/>
        <n v="6.0736159378965343E-5" u="1"/>
        <n v="1.8181201288731399E-4" u="1"/>
        <n v="1.9583477527624375E-5" u="1"/>
        <n v="4.5137086121766597E-6" u="1"/>
        <n v="6.7173694412085351E-6" u="1"/>
        <n v="4.8667685693814183E-4" u="1"/>
        <n v="1.1233393285663921E-5" u="1"/>
        <n v="4.8378070119855921E-6" u="1"/>
        <n v="2.5260316593797777E-5" u="1"/>
        <n v="1.0724900038830914E-5" u="1"/>
        <n v="3.5233632282624059E-4" u="1"/>
        <n v="1.8167091044681545E-4" u="1"/>
        <n v="8.8007589087701009E-5" u="1"/>
        <n v="5.5419520088904916E-4" u="1"/>
        <n v="2.0667184921257732E-3" u="1"/>
        <n v="2.0028981021594211E-4" u="1"/>
        <n v="5.3735508351895813E-4" u="1"/>
        <n v="1.4129545775797782E-5" u="1"/>
        <n v="9.31699104289435E-5" u="1"/>
        <n v="2.4959339159595054E-4" u="1"/>
        <n v="2.5123815372817384E-5" u="1"/>
        <n v="2.7794551974121387E-5" u="1"/>
        <n v="9.2761198006788092E-5" u="1"/>
        <n v="2.0881319893613045E-4" u="1"/>
        <n v="2.6180110448765127E-6" u="1"/>
        <n v="2.7345759225591358E-5" u="1"/>
        <n v="1.1558667985942884E-5" u="1"/>
        <n v="3.6329022939483887E-5" u="1"/>
        <n v="7.4696904412589014E-5" u="1"/>
        <n v="3.58953937438362E-6" u="1"/>
        <n v="1.5313356859342735E-4" u="1"/>
        <n v="3.7317786507963584E-4" u="1"/>
        <n v="2.7837325687380277E-3" u="1"/>
        <n v="5.8679536108687559E-5" u="1"/>
        <n v="9.8841597494025066E-5" u="1"/>
        <n v="5.801437653638002E-4" u="1"/>
        <n v="2.5853864163291304E-5" u="1"/>
        <n v="4.4691027946884505E-4" u="1"/>
        <n v="4.6202071686090251E-4" u="1"/>
        <n v="1.1435319883864698E-4" u="1"/>
        <n v="1.8740740939318168E-4" u="1"/>
        <n v="1.7682201144130928E-4" u="1"/>
        <n v="3.0310984111820035E-4" u="1"/>
        <n v="0.16666666666666666" u="1"/>
        <n v="9.1458823797013425E-7" u="1"/>
        <n v="3.9884490218346717E-5" u="1"/>
        <n v="1.1993156693295916E-3" u="1"/>
        <n v="4.7923564515369083E-4" u="1"/>
        <n v="8.5550666543187607E-4" u="1"/>
        <n v="1.5266483219033972E-3" u="1"/>
        <n v="2.5925993803301117E-5" u="1"/>
        <n v="1.7295184381849228E-3" u="1"/>
        <n v="7.5006085892680456E-4" u="1"/>
        <n v="4.4234505734464788E-4" u="1"/>
        <n v="1.1420467303233689E-5" u="1"/>
        <n v="1.957495536069694E-4" u="1"/>
        <n v="2.3908848736533064E-4" u="1"/>
        <n v="7.7878682478484584E-4" u="1"/>
        <n v="6.9166831576193886E-5" u="1"/>
        <n v="1.2029087441042813E-5" u="1"/>
        <n v="3.9208577245084802E-5" u="1"/>
        <n v="8.2635692920588337E-5" u="1"/>
        <n v="3.7753888371684954E-5" u="1"/>
        <n v="5.7420629125784538E-4" u="1"/>
        <n v="6.5911255928213178E-4" u="1"/>
        <n v="1.0958875788194428E-4" u="1"/>
        <n v="3.0858891775482583E-3" u="1"/>
        <n v="1.0042424153802911E-4" u="1"/>
        <n v="1.8856886963048895E-4" u="1"/>
        <n v="2.5713892043562113E-4" u="1"/>
        <n v="5.3323252405810661E-4" u="1"/>
        <n v="6.396214749573104E-4" u="1"/>
        <n v="6.2196586778967618E-5" u="1"/>
        <n v="6.2659880192822298E-5" u="1"/>
        <n v="3.5718267426387796E-4" u="1"/>
        <n v="4.1365071999662054E-4" u="1"/>
        <n v="2.6742898735801938E-6" u="1"/>
        <n v="8.4759256461122781E-6" u="1"/>
        <n v="1.2171251167770666E-3" u="1"/>
        <n v="6.4084004750694167E-7" u="1"/>
        <n v="7.1570397846265328E-4" u="1"/>
        <n v="2.4907886423755483E-2" u="1"/>
        <n v="9.1476695765480782E-7" u="1"/>
        <n v="7.5931028824235687E-4" u="1"/>
        <n v="5.6826500554843391E-5" u="1"/>
        <n v="4.0050334611991438E-4" u="1"/>
        <n v="2.9574239344651163E-5" u="1"/>
        <n v="1.0666488109454434E-4" u="1"/>
        <n v="3.3944014758996503E-4" u="1"/>
        <n v="7.1851118379044957E-5" u="1"/>
        <n v="1.2176955347699147E-3" u="1"/>
        <n v="1.3265277137365574E-3" u="1"/>
        <n v="2.4776079507513537E-4" u="1"/>
        <n v="5.5713586270428881E-4" u="1"/>
        <n v="4.5294326949791144E-5" u="1"/>
        <n v="2.085689638645045E-4" u="1"/>
        <n v="3.4869359647369814E-4" u="1"/>
        <n v="4.388701583618879E-3" u="1"/>
        <n v="9.2280214593599567E-5" u="1"/>
        <n v="2.473845509830395E-3" u="1"/>
        <n v="5.3855437871351065E-4" u="1"/>
        <n v="3.7677384161211654E-4" u="1"/>
        <n v="1.0731670330420204E-3" u="1"/>
        <n v="3.952169447382488E-3" u="1"/>
        <n v="1.1534022541426411E-5" u="1"/>
        <n v="3.3185705512202491E-4" u="1"/>
        <n v="1.7779310596939993E-4" u="1"/>
        <n v="4.289665729200684E-4" u="1"/>
        <n v="3.1828383610430081E-6" u="1"/>
        <n v="4.4602454633632774E-4" u="1"/>
        <n v="1.2441439083395479E-4" u="1"/>
        <n v="3.596171499409413E-6" u="1"/>
        <n v="4.5289680126603263E-3" u="1"/>
        <n v="1.9424261034721984E-5" u="1"/>
        <n v="2.7625663496829348E-5" u="1"/>
        <n v="3.2859422345484647E-5" u="1"/>
        <n v="8.0314256631718853E-4" u="1"/>
        <n v="5.0439577311698503E-5" u="1"/>
        <n v="7.1202442285727289E-5" u="1"/>
        <n v="5.4622842487843002E-4" u="1"/>
        <n v="2.6745816740835339E-5" u="1"/>
        <n v="1.3493612233524889E-4" u="1"/>
        <n v="1.5093978933823349E-5" u="1"/>
        <n v="1.7067544667735736E-5" u="1"/>
        <n v="4.0487664279946514E-5" u="1"/>
        <n v="1.8271910627159868E-6" u="1"/>
        <n v="1.3483547228301399E-5" u="1"/>
        <n v="1.4633195881648574E-4" u="1"/>
        <n v="5.207208853448234E-4" u="1"/>
        <n v="1.2135063421117177E-3" u="1"/>
        <n v="1.3510826351080199E-5" u="1"/>
        <n v="2.7570879414579303E-5" u="1"/>
        <n v="1.3407561304913654E-4" u="1"/>
        <n v="2.3223207563417053E-4" u="1"/>
        <n v="5.6816206084259729E-3" u="1"/>
        <n v="1.9487105862168132E-4" u="1"/>
        <n v="7.8003138805080182E-4" u="1"/>
        <n v="7.0278108788296792E-4" u="1"/>
        <n v="2.3180341484575678E-4" u="1"/>
        <n v="1.1025680231490735E-4" u="1"/>
        <n v="3.9402666822640212E-4" u="1"/>
        <n v="8.5323291399196414E-4" u="1"/>
        <n v="6.9805349405107156E-4" u="1"/>
        <n v="2.1273383114889138E-4" u="1"/>
        <n v="4.7239335552706866E-4" u="1"/>
        <n v="1.6889054719093272E-4" u="1"/>
        <n v="3.4993073962329141E-4" u="1"/>
        <n v="1.5450377001051197E-3" u="1"/>
        <n v="1.2231721444250018E-5" u="1"/>
        <n v="4.7577789367478543E-5" u="1"/>
        <n v="1.4994669279223511E-5" u="1"/>
        <n v="5.7873864520730672E-5" u="1"/>
        <n v="2.1930396481496825E-4" u="1"/>
        <n v="2.9947475909398864E-5" u="1"/>
        <n v="2.5716631816328154E-5" u="1"/>
        <n v="1.922067297709626E-3" u="1"/>
        <n v="8.3660749420379576E-5" u="1"/>
        <n v="4.4453085270411008E-5" u="1"/>
        <n v="3.1319276217771563E-6" u="1"/>
        <n v="1.1108211779576888E-3" u="1"/>
        <n v="2.1495309436886769E-3" u="1"/>
        <n v="1.4721042943090778E-5" u="1"/>
        <n v="8.350259826930051E-2" u="1"/>
        <n v="2.1804370183707588E-5" u="1"/>
        <n v="9.7925064460940801E-7" u="1"/>
        <n v="4.9500852167951014E-6" u="1"/>
        <n v="4.790653285436458E-5" u="1"/>
        <n v="3.1841581409253455E-4" u="1"/>
        <n v="2.3994888941963218E-4" u="1"/>
        <n v="1.0137026754336797E-3" u="1"/>
        <n v="1.8057635311110354E-4" u="1"/>
        <n v="1.2230927928850069E-4" u="1"/>
        <n v="6.7067121264555499E-4" u="1"/>
        <n v="7.5800578076943694E-5" u="1"/>
        <n v="2.75695572138576E-4" u="1"/>
        <n v="6.6885033851132999E-4" u="1"/>
        <n v="1.1587524228702705E-4" u="1"/>
        <n v="4.8519905311061611E-5" u="1"/>
        <n v="1.7880868707645466E-5" u="1"/>
        <n v="4.5543985351484753E-5" u="1"/>
        <n v="6.7084012874316193E-5" u="1"/>
        <n v="1.5932169705713668E-4" u="1"/>
        <n v="9.590363109657525E-6" u="1"/>
        <n v="1.5322706010992883E-5" u="1"/>
        <n v="8.1652856509214621E-4" u="1"/>
        <n v="7.6793732300658502E-4" u="1"/>
        <n v="1.1258691869391654E-5" u="1"/>
        <n v="4.3207660900519754E-6" u="1"/>
        <n v="4.7789076652872756E-5" u="1"/>
        <n v="3.2734867723062473E-5" u="1"/>
        <n v="2.271045786358489E-4" u="1"/>
        <n v="4.0693928079949443E-4" u="1"/>
        <n v="6.5115112975211581E-3" u="1"/>
        <n v="1.2515419446976306E-5" u="1"/>
        <n v="4.9848968868655654E-5" u="1"/>
        <n v="7.9337192053797876E-5" u="1"/>
        <n v="8.0835250508132564E-4" u="1"/>
        <n v="1.6421857271210372E-3" u="1"/>
        <n v="1.7366529702399229E-5" u="1"/>
        <n v="7.6661321323370516E-6" u="1"/>
        <n v="1.2027050036637535E-5" u="1"/>
        <n v="2.2563293007673577E-3" u="1"/>
        <n v="2.7232087007241397E-5" u="1"/>
        <n v="8.3168180097450967E-7" u="1"/>
        <n v="5.5291369951371996E-6" u="1"/>
        <n v="1.8147945779697117E-5" u="1"/>
        <n v="7.7762315817179505E-6" u="1"/>
        <n v="1.0970308161478109E-4" u="1"/>
        <n v="8.7770382086438587E-4" u="1"/>
        <n v="4.5235411193376322E-5" u="1"/>
        <n v="2.0444808599341338E-4" u="1"/>
        <n v="1.1598712243435706E-4" u="1"/>
        <n v="3.8890073729993548E-3" u="1"/>
        <n v="4.1870190044013782E-4" u="1"/>
        <n v="6.7734232455819688E-5" u="1"/>
        <n v="1.5696524015863808E-3" u="1"/>
        <n v="9.6114682796930559E-6" u="1"/>
        <n v="2.6632815371192657E-4" u="1"/>
        <n v="9.6567417126869855E-5" u="1"/>
        <n v="9.4389448064871996E-5" u="1"/>
        <n v="5.0958293324494836E-5" u="1"/>
        <n v="1.37143672754509E-4" u="1"/>
        <n v="1.3257586569378167E-4" u="1"/>
        <n v="5.9893471694863762E-5" u="1"/>
        <n v="1.1496379464133395E-4" u="1"/>
        <n v="6.0220697364209597E-4" u="1"/>
        <n v="6.8307183394016793E-6" u="1"/>
        <n v="6.3144180480885926E-4" u="1"/>
        <n v="1.9039725844003711E-3" u="1"/>
        <n v="6.8369865261605004E-6" u="1"/>
        <n v="5.0580587142905882E-5" u="1"/>
        <n v="5.0169920014817493E-4" u="1"/>
        <n v="8.7721389009389272E-5" u="1"/>
        <n v="6.2912467972620152E-5" u="1"/>
        <n v="4.0696410496369556E-4" u="1"/>
        <n v="1.760274659660855E-4" u="1"/>
        <n v="1.0391129329687451E-4" u="1"/>
        <n v="2.6426529149992931E-5" u="1"/>
        <n v="5.1686722021027183E-3" u="1"/>
        <n v="1.2827199511282897E-3" u="1"/>
        <n v="3.2752353007121168E-5" u="1"/>
        <n v="9.2037266303703237E-5" u="1"/>
        <n v="2.167283736996112E-5" u="1"/>
        <n v="1.531843753503312E-4" u="1"/>
        <n v="5.3228359889453749E-6" u="1"/>
        <n v="1.2204607230998442E-4" u="1"/>
        <n v="3.4739977773770125E-3" u="1"/>
        <n v="2.5927378555912455E-4" u="1"/>
        <n v="1.8647785744343115E-5" u="1"/>
        <n v="8.7630133113670598E-5" u="1"/>
        <n v="1.6785195040041332E-3" u="1"/>
        <n v="2.9054764585557176E-5" u="1"/>
        <n v="3.8788391019173372E-4" u="1"/>
        <n v="2.1519968675313453E-5" u="1"/>
        <n v="4.4459134444319878E-4" u="1"/>
        <n v="2.634622373429907E-4" u="1"/>
        <n v="1.1063216320681606E-3" u="1"/>
        <n v="1.517883179065751E-5" u="1"/>
        <n v="4.5269623502613369E-4" u="1"/>
        <n v="6.8583159569058098E-4" u="1"/>
        <n v="1.6264625362922815E-5" u="1"/>
        <n v="1.7807830196802868E-4" u="1"/>
        <n v="8.1774827608616894E-3" u="1"/>
        <n v="3.6174061599801136E-5" u="1"/>
        <n v="0.16650471884585305" u="1"/>
        <n v="3.1496423169219919E-5" u="1"/>
        <n v="4.2896865744148148E-5" u="1"/>
        <n v="4.5158729075580551E-5" u="1"/>
        <n v="2.4612950028351445E-7" u="1"/>
        <n v="1.8697227732745833E-5" u="1"/>
        <n v="6.7391745587654691E-4" u="1"/>
        <n v="5.1558431426069356E-4" u="1"/>
        <n v="3.4113776200711951E-5" u="1"/>
        <n v="1.2662248553589099E-4" u="1"/>
        <n v="4.4347549346942031E-4" u="1"/>
        <n v="3.5741145495695294E-4" u="1"/>
        <n v="1.1077182532912854E-5" u="1"/>
        <n v="1.752460190190239E-4" u="1"/>
        <n v="8.6078602704516255E-4" u="1"/>
        <n v="2.204814177020223E-3" u="1"/>
        <n v="5.4334062834591681E-5" u="1"/>
        <n v="9.7483464367356689E-5" u="1"/>
        <n v="1.2108639634501997E-4" u="1"/>
        <n v="2.9413934286396672E-5" u="1"/>
        <n v="7.670248794048309E-4" u="1"/>
        <n v="2.2176365134064135E-4" u="1"/>
        <n v="2.5701771437019994E-4" u="1"/>
        <n v="5.588073353057488E-4" u="1"/>
        <n v="5.6355219183446014E-4" u="1"/>
        <n v="5.6452322137357446E-4" u="1"/>
        <n v="3.7982303501768517E-6" u="1"/>
        <n v="1.0531089913873359E-4" u="1"/>
        <n v="1.2264388153159522E-4" u="1"/>
        <n v="6.0416507849855972E-5" u="1"/>
        <n v="9.8399362133198148E-5" u="1"/>
        <n v="9.2635540196494168E-5" u="1"/>
        <n v="3.2977276604455967E-5" u="1"/>
        <n v="5.7072782941693513E-4" u="1"/>
        <n v="2.695086368724705E-3" u="1"/>
        <n v="6.8400994981226305E-6" u="1"/>
        <n v="1.4758746297659259E-5" u="1"/>
        <n v="3.6057835802102072E-4" u="1"/>
        <n v="3.6094134891119091E-3" u="1"/>
        <n v="3.2282658179106364E-5" u="1"/>
        <n v="1.4691336254587816E-3" u="1"/>
        <n v="2.1785301443242688E-4" u="1"/>
        <n v="6.3401112773745752E-4" u="1"/>
        <n v="1.2070509789776908E-5" u="1"/>
        <n v="8.9928170934005328E-7" u="1"/>
        <n v="3.4462598031808859E-6" u="1"/>
        <n v="4.7702220998263172E-4" u="1"/>
        <n v="1.3951652182248586E-3" u="1"/>
        <n v="4.7732216822721446E-4" u="1"/>
        <n v="1.9538818565400845E-4" u="1"/>
        <n v="2.782408718921053E-4" u="1"/>
        <n v="1.5412303875455126E-4" u="1"/>
        <n v="4.9362163580502654E-4" u="1"/>
        <n v="1.7543622388052426E-4" u="1"/>
        <n v="5.1032273363130773E-4" u="1"/>
        <n v="3.6182628771594616E-6" u="1"/>
        <n v="1.2326107209064663E-4" u="1"/>
        <n v="1.4956220501097502E-3" u="1"/>
        <n v="4.6686176357335385E-5" u="1"/>
        <n v="1.6442311560401567E-4" u="1"/>
        <n v="1.7234831893015147E-2" u="1"/>
        <n v="2.9555763953539383E-4" u="1"/>
        <n v="9.6337757457891209E-6" u="1"/>
        <n v="3.8961615073543148E-4" u="1"/>
        <n v="3.9241283759742254E-4" u="1"/>
        <n v="3.1788827826329958E-3" u="1"/>
        <n v="9.163702356987697E-5" u="1"/>
        <n v="2.4262618064660782E-3" u="1"/>
        <n v="1.3575669102128551E-5" u="1"/>
        <n v="1.9428982321373735E-4" u="1"/>
        <n v="8.2165562666432696E-7" u="1"/>
        <n v="5.3495003355055895E-3" u="1"/>
        <n v="4.0859168872230045E-3" u="1"/>
        <n v="2.2846714726014596E-4" u="1"/>
        <n v="1.1959766949531187E-5" u="1"/>
        <n v="1.304078350709761E-4" u="1"/>
        <n v="1.3142193654151397E-3" u="1"/>
        <n v="1.3446866637746574E-4" u="1"/>
        <n v="2.4901865963485943E-3" u="1"/>
        <n v="9.8364680116135288E-4" u="1"/>
        <n v="1.4150185787235839E-3" u="1"/>
        <n v="2.6280966840999598E-5" u="1"/>
        <n v="3.3518491800828286E-5" u="1"/>
        <n v="3.7841935436701555E-5" u="1"/>
        <n v="1.225707169421387E-4" u="1"/>
        <n v="9.3599477813575865E-5" u="1"/>
        <n v="3.2041921139126774E-5" u="1"/>
        <n v="5.5265317657992262E-4" u="1"/>
        <n v="1.1130144811686318E-4" u="1"/>
        <n v="6.9345286430789175E-4" u="1"/>
        <n v="8.7110618548828659E-4" u="1"/>
        <n v="8.2140761248373253E-5" u="1"/>
        <n v="5.3537404242805318E-4" u="1"/>
        <n v="1.7390580497783063E-5" u="1"/>
        <n v="3.3455652172500241E-4" u="1"/>
        <n v="2.0058753283974206E-5" u="1"/>
        <n v="3.7534013767914618E-4" u="1"/>
        <n v="2.6141752330260978E-5" u="1"/>
        <n v="2.0174252618649561E-3" u="1"/>
        <n v="2.712948566099475E-7" u="1"/>
        <n v="7.0295355400340224E-5" u="1"/>
        <n v="3.5457863584889413E-5" u="1"/>
        <n v="2.3108728669399455E-4" u="1"/>
        <n v="9.6503897876322724E-4" u="1"/>
        <n v="2.3542907834258613E-4" u="1"/>
        <n v="6.7204362385030441E-4" u="1"/>
        <n v="2.032992287433244E-4" u="1"/>
        <n v="1.3959553476991465E-3" u="1"/>
        <n v="1.0597373957942385E-4" u="1"/>
        <n v="1.1086627055885645E-4" u="1"/>
        <n v="1.06535302661786E-3" u="1"/>
        <n v="2.1772350115111725E-5" u="1"/>
        <n v="7.4190627939735721E-4" u="1"/>
        <n v="6.2468206255513912E-4" u="1"/>
        <n v="1.6036106250477262E-5" u="1"/>
        <n v="4.3508440280817367E-4" u="1"/>
        <n v="4.4682479459421694E-4" u="1"/>
        <n v="1.5786498702657562E-4" u="1"/>
        <n v="2.2257839181528834E-3" u="1"/>
        <n v="6.1636558898696818E-5" u="1"/>
        <n v="1.3322512668788557E-6" u="1"/>
        <n v="4.410946743158692E-5" u="1"/>
        <n v="3.1535710467611933E-4" u="1"/>
        <n v="3.5979466895427861E-4" u="1"/>
        <n v="4.5406546664522032E-5" u="1"/>
        <n v="4.6751224148603799E-4" u="1"/>
        <n v="2.19887539826057E-4" u="1"/>
        <n v="7.1620737332429984E-5" u="1"/>
        <n v="8.6971559361743262E-4" u="1"/>
        <n v="3.7830424264284174E-6" u="1"/>
        <n v="6.3765641628038837E-5" u="1"/>
        <n v="1.8379337567365136E-4" u="1"/>
        <n v="8.2980650182212844E-4" u="1"/>
        <n v="6.9673305453062519E-4" u="1"/>
        <n v="5.3946504324204011E-6" u="1"/>
        <n v="2.3530891697495811E-4" u="1"/>
        <n v="1.8609509836893916E-4" u="1"/>
        <n v="5.1313602517672938E-4" u="1"/>
        <n v="2.3160759493670886E-4" u="1"/>
        <n v="6.0916172669210991E-4" u="1"/>
        <n v="1.480697624165501E-5" u="1"/>
        <n v="8.9013544352539199E-4" u="1"/>
        <n v="3.2054899437682877E-5" u="1"/>
        <n v="1.4635387472399995E-6" u="1"/>
        <n v="3.7395371810056718E-6" u="1"/>
        <n v="5.3758929891517156E-5" u="1"/>
        <n v="2.429143201584431E-4" u="1"/>
        <n v="1.2549206403363831E-4" u="1"/>
        <n v="4.0949173746403268E-5" u="1"/>
        <n v="2.0573571582920247E-5" u="1"/>
        <n v="3.1263746387019101E-5" u="1"/>
        <n v="2.0779569366796155E-3" u="1"/>
        <n v="8.1147598088674209E-5" u="1"/>
        <n v="1.9176195512836134E-4" u="1"/>
        <n v="1.7118330303222315E-5" u="1"/>
        <n v="8.5301213019241609E-4" u="1"/>
        <n v="2.0890305106996225E-5" u="1"/>
        <n v="5.3285295756707262E-4" u="1"/>
        <n v="8.0628833334145692E-6" u="1"/>
        <n v="2.9128377598949778E-5" u="1"/>
        <n v="7.9363642892074432E-4" u="1"/>
        <n v="9.7424815228216912E-4" u="1"/>
        <n v="1.778219432028842E-5" u="1"/>
        <n v="4.2895091025184854E-3" u="1"/>
        <n v="8.2123059875968549E-6" u="1"/>
        <n v="1.1959138668603339E-4" u="1"/>
        <n v="2.5961956265668431E-4" u="1"/>
        <n v="2.7169059723244448E-4" u="1"/>
        <n v="2.0166398424667216E-4" u="1"/>
        <n v="3.5808170414093508E-5" u="1"/>
        <n v="7.0941672231347762E-4" u="1"/>
        <n v="1.4310629434482177E-5" u="1"/>
        <n v="7.8890755318129161E-4" u="1"/>
        <n v="1.2210471673742343E-5" u="1"/>
        <n v="3.6228876714287337E-4" u="1"/>
        <n v="5.6987690925426777E-4" u="1"/>
        <n v="1.1969323578487999E-4" u="1"/>
        <n v="3.1657482099598855E-4" u="1"/>
        <n v="1.6857075593552443E-4" u="1"/>
        <n v="2.1535089010526592E-4" u="1"/>
        <n v="4.6599400639166585E-4" u="1"/>
        <n v="1.0641581263028258E-3" u="1"/>
        <n v="5.4343188424163546E-4" u="1"/>
        <n v="1.469376167567578E-3" u="1"/>
        <n v="7.8569798972849225E-5" u="1"/>
        <n v="1.6793077699195274E-4" u="1"/>
        <n v="1.8233103109884985E-4" u="1"/>
        <n v="6.0154505604486839E-4" u="1"/>
        <n v="3.8462653272438659E-5" u="1"/>
        <n v="3.2277679536108687E-4" u="1"/>
        <n v="6.9524337559241512E-5" u="1"/>
        <n v="9.7462433772171387E-4" u="1"/>
        <n v="5.5666790145721529E-5" u="1"/>
        <n v="1.3078942109444684E-5" u="1"/>
        <n v="3.6988704103566435E-4" u="1"/>
        <n v="7.6225282661428561E-5" u="1"/>
        <n v="8.5240974249742895E-5" u="1"/>
        <n v="5.2014023483766569E-4" u="1"/>
        <n v="1.4020124811328879E-4" u="1"/>
        <n v="2.7749204291222101E-6" u="1"/>
        <n v="4.4294244088846428E-6" u="1"/>
        <n v="3.252957174705786E-2" u="1"/>
        <n v="1.9690549465546908E-4" u="1"/>
        <n v="2.3166380877643629E-4" u="1"/>
        <n v="9.9563627457192579E-4" u="1"/>
        <n v="9.3267649462459943E-4" u="1"/>
        <n v="8.8666718657847659E-6" u="1"/>
        <n v="1.2597950572634117E-6" u="1"/>
        <n v="9.3180982925771211E-5" u="1"/>
        <n v="6.8377546958597147E-5" u="1"/>
        <n v="7.4107543757890061E-5" u="1"/>
        <n v="3.6249094622324683E-5" u="1"/>
        <n v="1.3084478682803431E-4" u="1"/>
        <n v="2.011515770387448E-4" u="1"/>
        <n v="2.8952653093718974E-4" u="1"/>
        <n v="4.6386188867713311E-5" u="1"/>
        <n v="1.4180485920950659E-2" u="1"/>
        <n v="9.6779308809743144E-6" u="1"/>
        <n v="7.3029786072537442E-6" u="1"/>
        <n v="1.4553901044535319E-5" u="1"/>
        <n v="8.1360107166821824E-5" u="1"/>
        <n v="2.4681588135612497E-5" u="1"/>
        <n v="1.6513970030333604E-4" u="1"/>
        <n v="4.7658809012021333E-4" u="1"/>
        <n v="9.5621692670380776E-7" u="1"/>
        <n v="1.8474909868413571E-4" u="1"/>
        <n v="4.9068547447639191E-4" u="1"/>
        <n v="0.10999255618358027" u="1"/>
        <n v="9.5897537892634954E-4" u="1"/>
        <n v="6.340055793036106E-5" u="1"/>
        <n v="5.2389319711643913E-6" u="1"/>
        <n v="7.8099540365465507E-5" u="1"/>
        <n v="1.6248724347632534E-4" u="1"/>
        <n v="4.9851304247517021E-4" u="1"/>
        <n v="1.4336218843878608E-5" u="1"/>
        <n v="1.2268444277639405E-4" u="1"/>
        <n v="1.6769771677479208E-5" u="1"/>
        <n v="1.2494784147239023E-4" u="1"/>
        <n v="1.1162951734312068E-5" u="1"/>
        <n v="5.0953772853779683E-4" u="1"/>
        <n v="5.3089916635390725E-4" u="1"/>
        <n v="3.2082295540618921E-7" u="1"/>
        <n v="5.7320380380477957E-4" u="1"/>
        <n v="3.0882371577721128E-6" u="1"/>
        <n v="2.1743483636588143E-5" u="1"/>
        <n v="3.5209410728705144E-5" u="1"/>
        <n v="4.9910854621284861E-5" u="1"/>
        <n v="4.0049409006497272E-4" u="1"/>
        <n v="1.0370163349791791E-3" u="1"/>
        <n v="3.7124650481162131E-5" u="1"/>
        <n v="4.3143313690415261E-5" u="1"/>
        <n v="6.4690026954177903E-7" u="1"/>
        <n v="1.7564305779632131E-5" u="1"/>
        <n v="7.533665427001944E-5" u="1"/>
        <n v="8.8339027992376797E-7" u="1"/>
        <n v="2.0792383616928978E-4" u="1"/>
        <n v="6.8273371091928528E-4" u="1"/>
        <n v="7.7147846671508347E-5" u="1"/>
        <n v="8.0804390330290225E-4" u="1"/>
        <n v="8.2230233034221573E-4" u="1"/>
        <n v="3.2178105213903093E-4" u="1"/>
        <n v="3.6343647571280722E-4" u="1"/>
        <n v="3.269571186487492E-5" u="1"/>
        <n v="1.8890879105881665E-3" u="1"/>
        <n v="1.549830167557828E-4" u="1"/>
        <n v="9.3971482024861536E-4" u="1"/>
        <n v="3.0612032059061981E-4" u="1"/>
        <n v="5.7189754877828847E-3" u="1"/>
        <n v="2.8885905353304443E-5" u="1"/>
        <n v="8.8824524889965546E-5" u="1"/>
        <n v="3.5841769714812122E-5" u="1"/>
        <n v="5.6546671329625719E-3" u="1"/>
        <n v="2.3173273933409046E-4" u="1"/>
        <n v="1.5435594056108233E-3" u="1"/>
        <n v="2.3355792548688926E-4" u="1"/>
        <n v="1.1975232376208186E-4" u="1"/>
        <n v="1.1626819975661627E-3" u="1"/>
        <n v="1.3190278623988406E-4" u="1"/>
        <n v="4.2705775082901566E-4" u="1"/>
        <n v="3.6494664892467615E-4" u="1"/>
        <n v="6.0537231372128498E-7" u="1"/>
        <n v="6.4667360423988082E-5" u="1"/>
        <n v="8.4014762245954031E-5" u="1"/>
        <n v="7.7570089311100598E-4" u="1"/>
        <n v="2.517816077947778E-5" u="1"/>
        <n v="7.1549614046717319E-4" u="1"/>
        <n v="5.9514044930128728E-6" u="1"/>
        <n v="2.1005481820146257E-5" u="1"/>
        <n v="6.218098130104681E-6" u="1"/>
        <n v="1.0025368121932317E-4" u="1"/>
        <n v="3.0958998129942207E-4" u="1"/>
        <n v="5.4065775017912579E-4" u="1"/>
        <n v="6.2862878134296473E-6" u="1"/>
        <n v="1.3739189489982762E-6" u="1"/>
        <n v="2.3207593068275793E-3" u="1"/>
        <n v="5.526888979331881E-3" u="1"/>
        <n v="1.9954745235089499E-3" u="1"/>
        <n v="1.7597228220163154E-4" u="1"/>
        <n v="9.9840159612925646E-6" u="1"/>
        <n v="2.5363609097806781E-4" u="1"/>
        <n v="3.9024790044988618E-4" u="1"/>
        <n v="3.2496836499108837E-4" u="1"/>
        <n v="5.577194442142751E-4" u="1"/>
        <n v="3.3287967128575816E-4" u="1"/>
        <n v="8.3503108910151124E-5" u="1"/>
        <n v="1.456459238101737E-4" u="1"/>
        <n v="1.0105473875243911E-3" u="1"/>
        <n v="7.4872727213646391E-6" u="1"/>
        <n v="6.1217008914862814E-4" u="1"/>
        <n v="1.1406680314351679E-3" u="1"/>
        <n v="3.321138452514992E-3" u="1"/>
        <n v="4.3618256215789399E-4" u="1"/>
        <n v="1.199828607822398E-4" u="1"/>
        <n v="1.3330497458118667E-3" u="1"/>
        <n v="3.004161894038724E-5" u="1"/>
        <n v="1.2309499763602598E-4" u="1"/>
        <n v="1.7263445325586647E-4" u="1"/>
        <n v="5.1880892103676915E-4" u="1"/>
        <n v="9.3459865895247519E-4" u="1"/>
        <n v="1.5473707897297922E-5" u="1"/>
        <n v="4.6749810313425586E-4" u="1"/>
        <n v="5.5339759443304431E-4" u="1"/>
        <n v="1.1576112651891423E-6" u="1"/>
        <n v="5.698371538727743E-6" u="1"/>
        <n v="1.5586157835477158E-4" u="1"/>
        <n v="1.6593300286438912E-4" u="1"/>
        <n v="2.152968420231718E-4" u="1"/>
        <n v="4.1573644370573637E-4" u="1"/>
        <n v="5.5202611257065523E-7" u="1"/>
        <n v="6.7517336621775536E-5" u="1"/>
        <n v="2.3235060577849481E-4" u="1"/>
        <n v="2.5503592915551699E-4" u="1"/>
        <n v="2.3653008193485182E-3" u="1"/>
        <n v="1.0983977617796582E-4" u="1"/>
        <n v="4.7235707543108002E-4" u="1"/>
        <n v="2.0883554377088787E-5" u="1"/>
        <n v="4.2980878618464339E-5" u="1"/>
        <n v="2.2431990336139231E-4" u="1"/>
        <n v="8.3557665530984299E-5" u="1"/>
        <n v="1.5896476135235561E-4" u="1"/>
        <n v="2.4843857485673994E-5" u="1"/>
        <n v="2.9836351258917705E-5" u="1"/>
        <n v="5.0542647553408749E-4" u="1"/>
        <n v="6.6523373285306479E-4" u="1"/>
        <n v="1.4175335708680413E-4" u="1"/>
        <n v="2.9519146564763949E-6" u="1"/>
        <n v="7.9227768489769937E-6" u="1"/>
        <n v="2.5604464092778263E-5" u="1"/>
        <n v="3.1087022838750979E-4" u="1"/>
        <n v="3.4574390606493372E-4" u="1"/>
        <n v="2.3909881118915205E-3" u="1"/>
        <n v="2.5443558373910828E-4" u="1"/>
        <n v="5.4721613708774654E-4" u="1"/>
        <n v="8.2715575095574419E-3" u="1"/>
        <n v="6.2498692909215272E-5" u="1"/>
        <n v="6.2499832978331056E-4" u="1"/>
        <n v="1.6684388185654009E-4" u="1"/>
        <n v="5.0082693273153546E-4" u="1"/>
        <n v="5.730901120897368E-5" u="1"/>
        <n v="1.1969211147559096E-4" u="1"/>
        <n v="5.3905404970681849E-4" u="1"/>
        <n v="1.4393106619289703E-4" u="1"/>
        <n v="3.7705237786540461E-4" u="1"/>
        <n v="8.0893950826091128E-4" u="1"/>
        <n v="2.8807354802441638E-6" u="1"/>
        <n v="3.055606371519231E-4" u="1"/>
        <n v="9.3108811042926846E-5" u="1"/>
        <n v="2.7704118188952199E-6" u="1"/>
        <n v="9.334278435520374E-5" u="1"/>
        <n v="1.7721989345057342E-4" u="1"/>
        <n v="9.4834479901346731E-4" u="1"/>
        <n v="2.0452775711669907E-3" u="1"/>
        <n v="5.3261747975999567E-6" u="1"/>
        <n v="2.617326602100119E-3" u="1"/>
        <n v="1.1049200213163841E-3" u="1"/>
        <n v="6.6379522672216727E-3" u="1"/>
        <n v="1.5894279182893602E-4" u="1"/>
        <n v="8.2017314312540709E-2" u="1"/>
        <n v="3.7601260136249389E-5" u="1"/>
        <n v="9.7341326489993978E-4" u="1"/>
        <n v="2.7255872972547034E-6" u="1"/>
        <n v="3.951411479327819E-5" u="1"/>
        <n v="7.5771646609443875E-5" u="1"/>
        <n v="1.1136406824492394E-3" u="1"/>
        <n v="1.2515965354376765E-5" u="1"/>
        <n v="1.1651319893613045E-3" u="1"/>
        <n v="3.1007660900519746E-4" u="1"/>
        <n v="3.3063146538768362E-5" u="1"/>
        <n v="1.5316475192895404E-4" u="1"/>
        <n v="3.5831610313100638E-5" u="1"/>
        <n v="1.7970973811067299E-4" u="1"/>
        <n v="3.9208037836581973E-5" u="1"/>
        <n v="1.3714184981372535E-5" u="1"/>
        <n v="6.4086316733524075E-5" u="1"/>
        <n v="1.9582787019751773E-6" u="1"/>
        <n v="6.9340737202452034E-5" u="1"/>
        <n v="1.435030788527496E-3" u="1"/>
        <n v="5.5953334665607345E-5" u="1"/>
        <n v="5.4638711983479797E-4" u="1"/>
        <n v="2.5798424667215823E-4" u="1"/>
        <n v="8.976609378884107E-4" u="1"/>
        <n v="2.8031765295561742E-3" u="1"/>
        <n v="9.7754793343179165E-8" u="1"/>
        <n v="2.1529455766065684E-4" u="1"/>
        <n v="2.842713370994445E-4" u="1"/>
        <n v="1.2908443075343343E-3" u="1"/>
        <n v="7.4528303511516852E-5" u="1"/>
        <n v="6.9592723834219621E-5" u="1"/>
        <n v="4.0094957017915835E-5" u="1"/>
        <n v="6.4772143775112146E-5" u="1"/>
        <n v="1.6474219198068528E-4" u="1"/>
        <n v="1.0833511240655803E-4" u="1"/>
        <n v="3.5611394842149897E-4" u="1"/>
        <n v="6.0335888699879279E-4" u="1"/>
        <n v="8.5680130920292642E-4" u="1"/>
        <n v="9.7946975981699097E-4" u="1"/>
        <n v="3.0052026112570654E-4" u="1"/>
        <n v="2.1171827977429329E-3" u="1"/>
        <n v="2.1241545177899199E-4" u="1"/>
        <n v="5.0144022395201212E-4" u="1"/>
        <n v="2.929262586333793E-4" u="1"/>
        <n v="2.4528974197751707E-4" u="1"/>
        <n v="7.0102718001459005E-4" u="1"/>
        <n v="1.5748750505695472E-4" u="1"/>
        <n v="4.6012141013080654E-3" u="1"/>
        <n v="7.4919423905220079E-4" u="1"/>
        <n v="6.938832375558297E-6" u="1"/>
        <n v="8.8015623349889274E-5" u="1"/>
        <n v="8.4203210780371391E-6" u="1"/>
        <n v="2.7216877962075682E-5" u="1"/>
        <n v="2.7206980140993585E-5" u="1"/>
        <n v="2.7815093364787995E-5" u="1"/>
        <n v="4.3923971021415496E-5" u="1"/>
        <n v="1.5438125945386512E-4" u="1"/>
        <n v="2.608612420368195E-4" u="1"/>
        <n v="3.0403227027615441E-4" u="1"/>
        <n v="5.8667914292538127E-4" u="1"/>
        <n v="8.5578047698659122E-5" u="1"/>
        <n v="2.1704322904227369E-4" u="1"/>
        <n v="3.9291229721408506E-3" u="1"/>
        <n v="5.085880218817883E-4" u="1"/>
        <n v="1.5996918710163789E-3" u="1"/>
        <n v="2.0882418694728906E-5" u="1"/>
        <n v="1.8242600127703339E-3" u="1"/>
        <n v="7.6674813034838962E-5" u="1"/>
        <n v="3.1061035566841977E-3" u="1"/>
        <n v="6.4344295998791201E-4" u="1"/>
        <n v="5.4256209290499099E-6" u="1"/>
        <n v="8.6646885647022125E-4" u="1"/>
        <n v="1.6803997374445359E-3" u="1"/>
        <n v="2.4358451572651989E-5" u="1"/>
        <n v="6.8333601412860344E-6" u="1"/>
        <n v="2.1272468313812271E-3" u="1"/>
        <n v="7.5297072409092605E-4" u="1"/>
        <n v="1.6869498220114412E-3" u="1"/>
        <n v="5.5076099150431603E-3" u="1"/>
        <n v="4.4616748634012957E-5" u="1"/>
        <n v="1.6572910320086953E-5" u="1"/>
        <n v="5.784891362802585E-6" u="1"/>
        <n v="3.9980072755158906E-5" u="1"/>
        <n v="2.7997710763311772E-5" u="1"/>
        <n v="5.4764235104120455E-4" u="1"/>
        <n v="4.3858179593786407E-4" u="1"/>
        <n v="5.4422602191103333E-5" u="1"/>
        <n v="6.3895910406197354E-6" u="1"/>
        <n v="7.9230498026772209E-6" u="1"/>
        <n v="1.48711442446575E-4" u="1"/>
        <n v="6.6037607658300964E-4" u="1"/>
        <n v="1.5035988295485378E-3" u="1"/>
        <n v="3.3249601048922076E-4" u="1"/>
        <n v="5.5902153734672748E-4" u="1"/>
        <n v="5.1116759584655452E-3" u="1"/>
        <n v="5.6458198278117077E-6" u="1"/>
        <n v="3.4040497880547011E-5" u="1"/>
        <n v="6.7480117435080075E-6" u="1"/>
        <n v="5.3143196710258016E-5" u="1"/>
        <n v="7.0897018468242325E-5" u="1"/>
        <n v="7.0455829429932941E-5" u="1"/>
        <n v="2.0604661821738488E-4" u="1"/>
        <n v="1.5867876338976001E-3" u="1"/>
        <n v="4.0071426134341961E-5" u="1"/>
        <n v="1.1106323492377605E-3" u="1"/>
        <n v="1.5275487945357269E-4" u="1"/>
        <n v="1.9197956096697098E-4" u="1"/>
        <n v="1.8487463788954801E-4" u="1"/>
        <n v="1.2142901172888549E-4" u="1"/>
        <n v="3.4418390905442667E-5" u="1"/>
        <n v="2.3345253286411293E-4" u="1"/>
        <n v="3.5053586335417853E-4" u="1"/>
        <n v="1.1277692046486614E-4" u="1"/>
        <n v="1.7285811769178652E-5" u="1"/>
        <n v="1.9513061971863023E-5" u="1"/>
        <n v="1.336722735905922E-4" u="1"/>
        <n v="2.1210592147057057E-3" u="1"/>
        <n v="3.5709599684153573E-4" u="1"/>
        <n v="7.1454495531195515E-5" u="1"/>
        <n v="3.1688002060150549E-4" u="1"/>
        <n v="5.5142408881393495E-4" u="1"/>
        <n v="3.7634090942323909E-5" u="1"/>
        <n v="1.7564354521364315E-5" u="1"/>
        <n v="2.1810671352371852E-4" u="1"/>
        <n v="1.9281397392967217E-5" u="1"/>
        <n v="1.9515294830614358E-4" u="1"/>
        <n v="2.8564115036986852E-4" u="1"/>
        <n v="6.6525730110530003E-4" u="1"/>
        <n v="1.4318354674088408E-4" u="1"/>
        <n v="3.7383709700742013E-4" u="1"/>
        <n v="9.2882244524272566E-4" u="1"/>
        <n v="2.7685628825210521E-7" u="1"/>
        <n v="3.6726888701504009E-5" u="1"/>
        <n v="2.9433338369978993E-5" u="1"/>
        <n v="1.1483287272396419E-5" u="1"/>
        <n v="6.5902037241932838E-5" u="1"/>
        <n v="2.4621809650538027E-5" u="1"/>
        <n v="3.7066169988415713E-4" u="1"/>
        <n v="4.6424223666060649E-5" u="1"/>
        <n v="6.0748364308704137E-6" u="1"/>
        <n v="1.1463312910547548E-4" u="1"/>
        <n v="1.8531949068139317E-4" u="1"/>
        <n v="3.5270095809998227E-5" u="1"/>
        <n v="3.7400960862013782E-5" u="1"/>
        <n v="2.2024833587602703E-4" u="1"/>
        <n v="2.8551661686886364E-4" u="1"/>
        <n v="1.0005642667862463E-5" u="1"/>
        <n v="1.8984756624407584E-3" u="1"/>
        <n v="3.9398721991782147E-6" u="1"/>
        <n v="2.2664475075915248E-4" u="1"/>
        <n v="5.7355195624942124E-5" u="1"/>
        <n v="5.5185680004029311E-4" u="1"/>
        <n v="1.8048401352420597E-4" u="1"/>
        <n v="0.10508715106757184" u="1"/>
        <n v="5.6595406254214123E-5" u="1"/>
        <n v="8.6447726929319617E-5" u="1"/>
        <n v="3.5617354981161322E-4" u="1"/>
        <n v="1.5816721338642931E-4" u="1"/>
        <n v="7.2492283371433126E-5" u="1"/>
        <n v="8.7867576837278983E-5" u="1"/>
        <n v="3.0321604122900652E-4" u="1"/>
        <n v="8.2586958987081811E-4" u="1"/>
        <n v="3.809057724833425E-4" u="1"/>
        <n v="6.781432811959272E-5" u="1"/>
        <n v="4.8668614548757165E-4" u="1"/>
        <n v="1.2823390832330064E-4" u="1"/>
        <n v="1.1851700517799669E-4" u="1"/>
        <n v="1.2582398329132334E-3" u="1"/>
        <n v="2.940890283985579E-4" u="1"/>
        <n v="5.3194318663696673E-5" u="1"/>
        <n v="3.3752710446490516E-4" u="1"/>
        <n v="3.0639738484359588E-4" u="1"/>
        <n v="9.0328263218351587E-4" u="1"/>
        <n v="1.1194611114089773E-6" u="1"/>
        <n v="2.2645413971655057E-4" u="1"/>
        <n v="3.9743398176084383E-4" u="1"/>
        <n v="1.065124010339746E-3" u="1"/>
        <n v="2.805273043060071E-5" u="1"/>
        <n v="2.7880101691500582E-3" u="1"/>
        <n v="7.883525132049477E-6" u="1"/>
        <n v="1.6748166092326592E-5" u="1"/>
        <n v="5.8441249153112406E-5" u="1"/>
        <n v="5.0700353540030765E-4" u="1"/>
        <n v="1.4990233781594796E-5" u="1"/>
        <n v="1.632221047004902E-5" u="1"/>
        <n v="2.5160676470253733E-4" u="1"/>
        <n v="3.1717393812074625E-4" u="1"/>
        <n v="2.0800919269068985E-5" u="1"/>
        <n v="1.1275291678649008E-5" u="1"/>
        <n v="3.3756444063175788E-6" u="1"/>
        <n v="1.5380779542770058E-3" u="1"/>
        <n v="1.2333755274261603E-4" u="1"/>
        <n v="1.4571390390405027E-4" u="1"/>
        <n v="1.565886067825745E-4" u="1"/>
        <n v="3.5326868450986774E-3" u="1"/>
        <n v="9.8099814943890145E-5" u="1"/>
        <n v="7.9479591511789818E-4" u="1"/>
        <n v="1.2858859703422808E-4" u="1"/>
        <n v="3.7356357302892493E-5" u="1"/>
        <n v="5.8481103642794587E-5" u="1"/>
        <n v="1.0040160912705183E-4" u="1"/>
        <n v="1.3386309422264248E-4" u="1"/>
        <n v="2.288075660166144E-5" u="1"/>
        <n v="7.87328491654603E-4" u="1"/>
        <n v="2.2327405363865152E-4" u="1"/>
        <n v="6.9515276471228562E-5" u="1"/>
        <n v="4.5202551142262496E-5" u="1"/>
        <n v="7.3363838720107103E-3" u="1"/>
        <n v="2.6286757358783017E-6" u="1"/>
        <n v="0.1" u="1"/>
        <n v="6.8569779801101239E-4" u="1"/>
        <n v="4.1648360896782889E-5" u="1"/>
        <n v="9.7590091780681712E-4" u="1"/>
        <n v="2.4419343806306854E-4" u="1"/>
        <n v="5.1887832276450109E-5" u="1"/>
        <n v="9.5172645165063872E-4" u="1"/>
        <n v="2.6794361231476109E-3" u="1"/>
        <n v="2.3112805752824176E-4" u="1"/>
        <n v="6.3287655831379593E-5" u="1"/>
        <n v="8.9355646810909705E-4" u="1"/>
        <n v="2.1497870247944289E-2" u="1"/>
        <n v="4.9109651512862129E-4" u="1"/>
        <n v="2.3646925452770076E-4" u="1"/>
        <n v="3.6744146686618285E-4" u="1"/>
        <n v="4.1062060572975308E-4" u="1"/>
        <n v="1.2301624724406123E-4" u="1"/>
        <n v="1.3157381366685677E-4" u="1"/>
        <n v="1.4598455861924421E-5" u="1"/>
        <n v="1.3106715473387828E-4" u="1"/>
        <n v="1.5518831368229165E-4" u="1"/>
        <n v="1.632146553390881E-4" u="1"/>
        <n v="2.030757397776402E-4" u="1"/>
        <n v="5.0297803210130486E-4" u="1"/>
        <n v="2.4221256594350182E-5" u="1"/>
        <n v="2.6313561737090343E-4" u="1"/>
        <n v="2.5967814209514711E-5" u="1"/>
        <n v="1.8985484663413968E-3" u="1"/>
        <n v="2.1449725502811586E-4" u="1"/>
        <n v="3.3681235570416369E-5" u="1"/>
        <n v="6.3595888797362752E-5" u="1"/>
        <n v="5.00485249939479E-4" u="1"/>
        <n v="4.0928279465595645E-4" u="1"/>
        <n v="4.0682494406886233E-4" u="1"/>
        <n v="1.7391757123197979E-4" u="1"/>
        <n v="1.2664580358056767E-4" u="1"/>
        <n v="3.0941460854702521E-4" u="1"/>
        <n v="8.7529310840648653E-5" u="1"/>
        <n v="1.0336747480458627E-3" u="1"/>
        <n v="3.2136434607279742E-5" u="1"/>
        <n v="5.6792152044959372E-3" u="1"/>
        <n v="5.1059399924287849E-4" u="1"/>
        <n v="3.1631504381069364E-5" u="1"/>
        <n v="2.3174094078042013E-3" u="1"/>
        <n v="8.6603684225063324E-5" u="1"/>
        <n v="1.5237254524451292E-3" u="1"/>
        <n v="4.7058501289218817E-4" u="1"/>
        <n v="6.891153489339371E-4" u="1"/>
        <n v="4.780431494307778E-5" u="1"/>
        <n v="5.0925784213852726E-6" u="1"/>
        <n v="3.640131391462723E-4" u="1"/>
        <n v="1.9408215256487117E-3" u="1"/>
        <n v="2.4387655831379604E-4" u="1"/>
        <n v="1.3811004388380637E-3" u="1"/>
        <n v="4.2844924929608813E-5" u="1"/>
        <n v="6.5257266661142602E-4" u="1"/>
        <n v="8.1236220306130577E-5" u="1"/>
        <n v="4.4798576254002909E-4" u="1"/>
        <n v="9.6507614270929288E-4" u="1"/>
        <n v="2.5432111703052369E-5" u="1"/>
        <n v="3.9526794142543569E-5" u="1"/>
        <n v="1.5606578866559761E-3" u="1"/>
        <n v="1.3458782529013517E-4" u="1"/>
        <n v="1.2180470975110847E-4" u="1"/>
        <n v="2.1372129315064931E-4" u="1"/>
        <n v="1.7526812014512038E-5" u="1"/>
        <n v="5.21936050847375E-4" u="1"/>
        <n v="2.4177727790423547E-4" u="1"/>
        <n v="2.5422135407781454E-4" u="1"/>
        <n v="2.7098920955532916E-3" u="1"/>
        <n v="9.9096198307362123E-6" u="1"/>
        <n v="4.3230330680158377E-5" u="1"/>
        <n v="2.9780230580887719E-3" u="1"/>
        <n v="3.218974538943832E-4" u="1"/>
        <n v="3.9711318967520134E-5" u="1"/>
        <n v="1.1681568882628284E-3" u="1"/>
        <n v="1.062202541393916E-4" u="1"/>
        <n v="9.4650009992055096E-6" u="1"/>
        <n v="1.9473407973172552E-4" u="1"/>
        <n v="1.0879258930703881E-4" u="1"/>
        <n v="7.2443343422871898E-5" u="1"/>
        <n v="2.6434248378118865E-4" u="1"/>
        <n v="2.5136272134839129E-5" u="1"/>
        <n v="1.2537132475153902E-3" u="1"/>
        <n v="1.0561307009548505E-3" u="1"/>
        <n v="2.8337289537262244E-6" u="1"/>
        <n v="3.3977360765180206E-4" u="1"/>
        <n v="2.8091003900963303E-4" u="1"/>
        <n v="1.7140221839870413E-5" u="1"/>
        <n v="6.0770800128028282E-5" u="1"/>
        <n v="3.9129198084774865E-5" u="1"/>
        <n v="5.1979393604109905E-3" u="1"/>
        <n v="1.3837965910032512E-3" u="1"/>
        <n v="1.0454700896360454E-4" u="1"/>
        <n v="1.1711830268290741E-4" u="1"/>
        <n v="5.1121825897782098E-4" u="1"/>
        <n v="5.6076216634253417E-4" u="1"/>
        <n v="7.7041003169837317E-6" u="1"/>
        <n v="1.934062821593887E-3" u="1"/>
        <n v="1.7273387826589916E-4" u="1"/>
        <n v="1.9486359626248398E-6" u="1"/>
        <n v="5.5343310765911331E-5" u="1"/>
        <n v="6.4904519820825382E-5" u="1"/>
        <n v="5.8857230104843465E-4" u="1"/>
        <n v="2.2074831556697198E-5" u="1"/>
        <n v="1.1792766142043156E-3" u="1"/>
        <n v="6.6373305128117482E-3" u="1"/>
        <n v="2.0266625561139192E-4" u="1"/>
        <n v="4.7334175179176E-2" u="1"/>
        <n v="7.4997931725830997E-5" u="1"/>
        <n v="5.4163437526909496E-7" u="1"/>
        <n v="4.8293962849051733E-4" u="1"/>
        <n v="4.0246691654928034E-5" u="1"/>
        <n v="1.1252191347042759E-5" u="1"/>
        <n v="1.0709577262956771E-5" u="1"/>
        <n v="3.0173361343582094E-5" u="1"/>
        <n v="1.370075078514807E-4" u="1"/>
        <n v="2.4828281252792496E-5" u="1"/>
        <n v="8.6752715320663731E-5" u="1"/>
        <n v="4.9460515135120204E-4" u="1"/>
        <n v="1.0115262514845921E-3" u="1"/>
        <n v="1.9715057458378623E-4" u="1"/>
        <n v="4.0160019106759017E-5" u="1"/>
        <n v="1.6201948369507822E-4" u="1"/>
        <n v="4.7006487849498533E-4" u="1"/>
        <n v="1.5239342149087961E-3" u="1"/>
        <n v="1.7302973733080524E-6" u="1"/>
        <n v="4.7114960624804015E-6" u="1"/>
        <n v="1.7372132564513743E-4" u="1"/>
        <n v="9.1751865589799337E-5" u="1"/>
        <n v="3.4684881728186852E-3" u="1"/>
        <n v="1.2035715991674913E-4" u="1"/>
        <n v="1.522312811439358E-3" u="1"/>
        <n v="6.7800604072534189E-5" u="1"/>
        <n v="2.4115101975827351E-6" u="1"/>
        <n v="6.6892178414236487E-6" u="1"/>
        <n v="4.9374528220650575E-5" u="1"/>
        <n v="8.6547736840138489E-5" u="1"/>
        <n v="5.9391594325812483E-5" u="1"/>
        <n v="3.573603297540655E-4" u="1"/>
        <n v="1.78139848153257E-4" u="1"/>
        <n v="2.1546270363889526E-4" u="1"/>
        <n v="1.3160639897707351E-3" u="1"/>
        <n v="7.2897199787486046E-4" u="1"/>
        <n v="2.4341493999080406E-4" u="1"/>
        <n v="5.1718896682150293E-5" u="1"/>
        <n v="3.0017957758790167E-2" u="1"/>
        <n v="5.1937077673199682E-6" u="1"/>
        <n v="2.9608599828754049E-4" u="1"/>
        <n v="7.1499557262599334E-5" u="1"/>
        <n v="1.7982206132034853E-3" u="1"/>
        <n v="3.8819474759093991E-4" u="1"/>
        <n v="4.9138110023087334E-4" u="1"/>
        <n v="6.2162662533367776E-4" u="1"/>
        <n v="1.3322880327674418E-3" u="1"/>
        <n v="6.2313896755262886E-5" u="1"/>
        <n v="1.9720537653800476E-5" u="1"/>
        <n v="5.130441941285709E-4" u="1"/>
        <n v="3.3793145287730567E-4" u="1"/>
        <n v="1.751194583493775E-3" u="1"/>
        <n v="3.4560235195105031E-4" u="1"/>
        <n v="4.8517358230610138E-4" u="1"/>
        <n v="7.8524896464437221E-6" u="1"/>
        <n v="4.0192762015243163E-4" u="1"/>
        <n v="8.1558176019392713E-4" u="1"/>
        <n v="1.2898314023483765E-4" u="1"/>
        <n v="1.5503132468655003E-4" u="1"/>
        <n v="1.8545301540726154E-4" u="1"/>
        <n v="3.4004947285816644E-5" u="1"/>
        <n v="1.9584673812204605E-4" u="1"/>
        <n v="3.5906982903025075E-4" u="1"/>
        <n v="6.7049354253284794E-6" u="1"/>
        <n v="6.7346516347164609E-6" u="1"/>
        <n v="1.3744968634695341E-4" u="1"/>
        <n v="2.3715300029732454E-4" u="1"/>
        <n v="1.6710340071065445E-4" u="1"/>
        <n v="2.0366551148761391E-4" u="1"/>
        <n v="3.4853056025371695E-4" u="1"/>
        <n v="1.9359198945878806E-5" u="1"/>
        <n v="9.7606488499388283E-6" u="1"/>
        <n v="1.2546619029747081E-4" u="1"/>
        <n v="3.5742406444306885E-5" u="1"/>
        <n v="7.3492856574203594E-4" u="1"/>
        <n v="3.1288562427598217E-5" u="1"/>
        <n v="2.6143765363800166E-6" u="1"/>
        <n v="1.6347801504169855E-5" u="1"/>
        <n v="1.2387084919470537E-3" u="1"/>
        <n v="9.330787390188939E-6" u="1"/>
        <n v="1.5342995894321423E-4" u="1"/>
        <n v="4.7639617279918899E-4" u="1"/>
        <n v="2.4878494985288123E-6" u="1"/>
        <n v="4.7981702516210683E-4" u="1"/>
        <n v="1.0605510886465882E-3" u="1"/>
        <n v="5.1252336722761874E-2" u="1"/>
        <n v="6.8947319935855887E-5" u="1"/>
        <n v="4.1766259348258053E-4" u="1"/>
        <n v="2.4791653465780868E-4" u="1"/>
        <n v="5.2907488029842935E-4" u="1"/>
        <n v="1.455871217844673E-4" u="1"/>
        <n v="1.9903312650591644E-6" u="1"/>
        <n v="6.1452788920679329E-4" u="1"/>
        <n v="7.4695330054639478E-5" u="1"/>
        <n v="7.8989138717345064E-5" u="1"/>
      </sharedItems>
    </cacheField>
    <cacheField name="Density" numFmtId="0">
      <sharedItems containsSemiMixedTypes="0" containsString="0" containsNumber="1" minValue="0.56000000000000005" maxValue="0.69"/>
    </cacheField>
    <cacheField name="BEF" numFmtId="0">
      <sharedItems containsSemiMixedTypes="0" containsString="0" containsNumber="1" minValue="3.4" maxValue="3.4"/>
    </cacheField>
    <cacheField name="BEF*Density*Volume" numFmtId="165">
      <sharedItems containsSemiMixedTypes="0" containsString="0" containsNumber="1" minValue="56.95" maxValue="190.4"/>
    </cacheField>
    <cacheField name="Rj" numFmtId="2">
      <sharedItems containsSemiMixedTypes="0" containsString="0" containsNumber="1" minValue="0.22865634992153483" maxValue="0.25013919838596194"/>
    </cacheField>
    <cacheField name="CF shrubs" numFmtId="0">
      <sharedItems containsSemiMixedTypes="0" containsString="0" containsNumber="1" minValue="0.47" maxValue="0.47"/>
    </cacheField>
    <cacheField name="Carbon stocks trees per stratum (t CO2e)" numFmtId="2">
      <sharedItems containsSemiMixedTypes="0" containsString="0" containsNumber="1" minValue="122.69345312985877" maxValue="403.14999795318715"/>
    </cacheField>
    <cacheField name="Carbon stocks shrubs per stratum (t CO2e)" numFmtId="2">
      <sharedItems containsSemiMixedTypes="0" containsString="0" containsNumber="1" minValue="25.85" maxValue="25.85"/>
    </cacheField>
    <cacheField name="Carbon stocks dead wood per stratum (t CO2e)" numFmtId="2">
      <sharedItems containsSemiMixedTypes="0" containsString="0" containsNumber="1" minValue="2.0069403444866767" maxValue="8.0629999590637436"/>
    </cacheField>
    <cacheField name="Carbon stocks litter per stratum (t CO2e)" numFmtId="2">
      <sharedItems containsSemiMixedTypes="0" containsString="0" containsNumber="1" minValue="2.0069403444866767" maxValue="16.125999918127487"/>
    </cacheField>
    <cacheField name="Total" numFmtId="0" formula="SUM(#NAME?)" databaseField="0"/>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tthias Seebauer" refreshedDate="44040.931331828702" createdVersion="4" refreshedVersion="6" minRefreshableVersion="3" recordCount="27" xr:uid="{00000000-000A-0000-FFFF-FFFF35000000}">
  <cacheSource type="worksheet">
    <worksheetSource ref="B10:X37" sheet="Inventory_Simulation"/>
  </cacheSource>
  <cacheFields count="23">
    <cacheField name="Year" numFmtId="0">
      <sharedItems containsSemiMixedTypes="0" containsString="0" containsNumber="1" containsInteger="1" minValue="0" maxValue="200" count="57">
        <n v="5"/>
        <n v="10"/>
        <n v="15"/>
        <n v="20"/>
        <n v="25"/>
        <n v="30"/>
        <n v="35"/>
        <n v="40"/>
        <n v="45"/>
        <n v="0"/>
        <n v="135" u="1"/>
        <n v="185" u="1"/>
        <n v="75" u="1"/>
        <n v="100" u="1"/>
        <n v="13" u="1"/>
        <n v="125" u="1"/>
        <n v="130" u="1"/>
        <n v="180" u="1"/>
        <n v="14" u="1"/>
        <n v="175" u="1"/>
        <n v="70" u="1"/>
        <n v="95" u="1"/>
        <n v="120" u="1"/>
        <n v="2" u="1"/>
        <n v="6" u="1"/>
        <n v="16" u="1"/>
        <n v="170" u="1"/>
        <n v="17" u="1"/>
        <n v="50" u="1"/>
        <n v="18" u="1"/>
        <n v="165" u="1"/>
        <n v="65" u="1"/>
        <n v="19" u="1"/>
        <n v="90" u="1"/>
        <n v="115" u="1"/>
        <n v="7" u="1"/>
        <n v="160" u="1"/>
        <n v="60" u="1"/>
        <n v="1" u="1"/>
        <n v="155" u="1"/>
        <n v="3" u="1"/>
        <n v="8" u="1"/>
        <n v="85" u="1"/>
        <n v="110" u="1"/>
        <n v="150" u="1"/>
        <n v="9" u="1"/>
        <n v="200" u="1"/>
        <n v="145" u="1"/>
        <n v="195" u="1"/>
        <n v="80" u="1"/>
        <n v="105" u="1"/>
        <n v="11" u="1"/>
        <n v="140" u="1"/>
        <n v="190" u="1"/>
        <n v="4" u="1"/>
        <n v="12" u="1"/>
        <n v="55" u="1"/>
      </sharedItems>
    </cacheField>
    <cacheField name="Year of start" numFmtId="0">
      <sharedItems containsSemiMixedTypes="0" containsString="0" containsNumber="1" containsInteger="1" minValue="2014" maxValue="2016" count="3">
        <n v="2015"/>
        <n v="2016" u="1"/>
        <n v="2014" u="1"/>
      </sharedItems>
    </cacheField>
    <cacheField name="Stratum" numFmtId="0">
      <sharedItems/>
    </cacheField>
    <cacheField name="Stratum area (ha)" numFmtId="0">
      <sharedItems containsSemiMixedTypes="0" containsString="0" containsNumber="1" containsInteger="1" minValue="100" maxValue="200"/>
    </cacheField>
    <cacheField name="Species" numFmtId="0">
      <sharedItems/>
    </cacheField>
    <cacheField name="Maximum rotation period" numFmtId="0">
      <sharedItems containsMixedTypes="1" containsNumber="1" containsInteger="1" minValue="10" maxValue="15"/>
    </cacheField>
    <cacheField name="Age at beginning of simulation" numFmtId="0">
      <sharedItems containsSemiMixedTypes="0" containsString="0" containsNumber="1" containsInteger="1" minValue="5" maxValue="20"/>
    </cacheField>
    <cacheField name="Age class" numFmtId="0">
      <sharedItems containsSemiMixedTypes="0" containsString="0" containsNumber="1" containsInteger="1" minValue="0" maxValue="65"/>
    </cacheField>
    <cacheField name="Standing volume according to growth model (m³/ha)" numFmtId="165">
      <sharedItems containsMixedTypes="1" containsNumber="1" containsInteger="1" minValue="20" maxValue="70"/>
    </cacheField>
    <cacheField name="Carbon stocks trees (tCO2e)" numFmtId="165">
      <sharedItems containsMixedTypes="1" containsNumber="1" minValue="101.37839305068346" maxValue="348.43296844883218"/>
    </cacheField>
    <cacheField name="Carbon stocks shrubs (tCO2e)" numFmtId="165">
      <sharedItems containsSemiMixedTypes="0" containsString="0" containsNumber="1" minValue="25.85" maxValue="25.85"/>
    </cacheField>
    <cacheField name="Carbon stocks dead wood (tCO2e)" numFmtId="165">
      <sharedItems containsMixedTypes="1" containsNumber="1" minValue="1.0137839305068346" maxValue="5.3369697772490508"/>
    </cacheField>
    <cacheField name="Carbon stocks litter (tCO2e)" numFmtId="165">
      <sharedItems containsMixedTypes="1" containsNumber="1" minValue="1.0137839305068346" maxValue="10.673939554498102"/>
    </cacheField>
    <cacheField name="Total Carbon stocks - all pools (tCO2e)" numFmtId="165">
      <sharedItems containsSemiMixedTypes="0" containsString="0" containsNumber="1" minValue="25.85" maxValue="3826.8960553657903"/>
    </cacheField>
    <cacheField name="Concatenate for Lookup parameters" numFmtId="0">
      <sharedItems/>
    </cacheField>
    <cacheField name="Concatenate for Lookup age" numFmtId="0">
      <sharedItems/>
    </cacheField>
    <cacheField name="Concatenate for Real Data" numFmtId="0">
      <sharedItems/>
    </cacheField>
    <cacheField name="BEF" numFmtId="0">
      <sharedItems containsSemiMixedTypes="0" containsString="0" containsNumber="1" minValue="3.4" maxValue="3.4"/>
    </cacheField>
    <cacheField name="Density" numFmtId="0">
      <sharedItems containsSemiMixedTypes="0" containsString="0" containsNumber="1" minValue="0.56000000000000005" maxValue="0.69"/>
    </cacheField>
    <cacheField name="Density * Volume*BEF" numFmtId="0">
      <sharedItems containsMixedTypes="1" containsNumber="1" minValue="46.919999999999995" maxValue="164.21999999999997"/>
    </cacheField>
    <cacheField name="Rj" numFmtId="0">
      <sharedItems containsMixedTypes="1" containsNumber="1" minValue="0.23118666984504291" maxValue="0.25377068483187326"/>
    </cacheField>
    <cacheField name="CF tree" numFmtId="0">
      <sharedItems containsSemiMixedTypes="0" containsString="0" containsNumber="1" minValue="0.47" maxValue="0.47"/>
    </cacheField>
    <cacheField name="wi" numFmtId="0">
      <sharedItems containsMixedTypes="1" containsNumber="1" minValue="0" maxValue="1.2" count="51">
        <n v="1"/>
        <n v="0.5"/>
        <n v="0" u="1"/>
        <n v="1.0651552676700324" u="1"/>
        <n v="0.2" u="1"/>
        <n v="0.36107011070110701" u="1"/>
        <n v="0.8856512011267107" u="1"/>
        <n v="2.0561190088163976E-2" u="1"/>
        <n v="0.41282287822878228" u="1"/>
        <n v="0.16666666666666666" u="1"/>
        <n v="2.9663572835734633E-2" u="1"/>
        <n v="0.16983593015751058" u="1"/>
        <n v="0.74566584111259282" u="1"/>
        <n v="0.11223974352798899" u="1"/>
        <n v="0.25" u="1"/>
        <n v="0.4359645911698255" u="1"/>
        <n v="0.51577490774907753" u="1"/>
        <n v="0.85254334158887413" u="1"/>
        <n v="0.2517740601729706" u="1"/>
        <n v="0.24713032597857665" u="1"/>
        <n v="0.48422509225092247" u="1"/>
        <n v="0.20525639849555088" u="1"/>
        <n v="0.24075772864874784" u="1"/>
        <n v="0.5530472493485068" u="1"/>
        <n v="0.23736162361623617" u="1"/>
        <n v="0.66666666666666663" u="1"/>
        <n v="0.25644436290248607" u="1"/>
        <n v="0.42820996764432079" u="1"/>
        <n v="0.13004333693445405" u="1"/>
        <n v="0.59031011751075546" u="1"/>
        <n v="0.74859173317507166" u="1"/>
        <s v="Formula1" f="1"/>
        <n v="6.5692328827961681E-3" u="1"/>
        <n v="2.3645607789267852E-2" u="1"/>
        <n v="0.26758693129255473" u="1"/>
        <n v="7.1405411749823233E-2" u="1"/>
        <n v="0.8693162031362397" u="1"/>
        <n v="0.4" u="1"/>
        <n v="0.60140241574298292" u="1"/>
        <n v="0.11434879887328933" u="1"/>
        <n v="1.2" u="1"/>
        <n v="0.6790510925496277" u="1"/>
        <n v="0.59031011751075768" u="1"/>
        <n v="0.33333333333333331" u="1"/>
        <n v="0.49018860735378172" u="1"/>
        <n v="1.8444053335771333E-2" u="1"/>
        <n v="0.11801669571598937" u="1"/>
        <n v="0.17952481423722594" u="1"/>
        <n v="0.37554733890166986" u="1"/>
        <n v="0.57426787647550803" u="1"/>
        <n v="0.5486569017244477" u="1"/>
      </sharedItems>
    </cacheField>
  </cacheFields>
  <calculatedItems count="1">
    <calculatedItem>
      <pivotArea cacheIndex="1" outline="0" fieldPosition="0">
        <references count="1">
          <reference field="22" count="1">
            <x v="31"/>
          </reference>
        </references>
      </pivotArea>
    </calculatedItem>
  </calculatedItem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3">
  <r>
    <x v="0"/>
    <x v="0"/>
    <x v="0"/>
    <x v="0"/>
    <n v="25"/>
    <m/>
    <n v="5"/>
    <m/>
    <m/>
    <m/>
    <m/>
    <m/>
    <m/>
    <x v="0"/>
    <n v="0.47"/>
    <n v="0.5"/>
    <n v="0.1"/>
    <n v="300"/>
    <x v="0"/>
    <n v="0.67"/>
    <n v="3.4"/>
    <n v="56.95"/>
    <n v="0.25013919838596194"/>
    <n v="0.47"/>
    <n v="122.69345312985877"/>
    <n v="25.85"/>
    <n v="2.4538690625971755"/>
    <n v="4.907738125194351"/>
  </r>
  <r>
    <x v="1"/>
    <x v="0"/>
    <x v="1"/>
    <x v="1"/>
    <n v="40"/>
    <m/>
    <n v="8"/>
    <m/>
    <m/>
    <m/>
    <m/>
    <m/>
    <m/>
    <x v="1"/>
    <n v="0.47"/>
    <n v="0.5"/>
    <n v="0.1"/>
    <n v="300"/>
    <x v="1"/>
    <n v="0.69"/>
    <n v="3.4"/>
    <n v="93.839999999999989"/>
    <n v="0.24101541482601563"/>
    <n v="0.47"/>
    <n v="200.69403444866768"/>
    <n v="25.85"/>
    <n v="2.0069403444866767"/>
    <n v="2.0069403444866767"/>
  </r>
  <r>
    <x v="2"/>
    <x v="0"/>
    <x v="2"/>
    <x v="2"/>
    <n v="100"/>
    <m/>
    <n v="20"/>
    <m/>
    <m/>
    <m/>
    <m/>
    <m/>
    <m/>
    <x v="0"/>
    <n v="0.47"/>
    <n v="0.5"/>
    <n v="0.1"/>
    <n v="300"/>
    <x v="0"/>
    <n v="0.56000000000000005"/>
    <n v="3.4"/>
    <n v="190.4"/>
    <n v="0.22865634992153483"/>
    <n v="0.47"/>
    <n v="403.14999795318715"/>
    <n v="25.85"/>
    <n v="8.0629999590637436"/>
    <n v="16.125999918127487"/>
  </r>
</pivotCacheRecords>
</file>

<file path=xl/pivotCache/pivotCacheRecords2.xml><?xml version="1.0" encoding="utf-8"?>
<pivotCacheRecords xmlns="http://schemas.openxmlformats.org/spreadsheetml/2006/main" xmlns:r="http://schemas.openxmlformats.org/officeDocument/2006/relationships" count="27">
  <r>
    <x v="0"/>
    <x v="0"/>
    <s v="Private forest"/>
    <n v="200"/>
    <s v="Andira retusa"/>
    <n v="10"/>
    <n v="5"/>
    <n v="10"/>
    <n v="55"/>
    <n v="266.84848886245254"/>
    <n v="25.85"/>
    <n v="5.3369697772490508"/>
    <n v="10.673939554498102"/>
    <n v="3826.8960553657903"/>
    <s v="Private forest-Andira retusa-10"/>
    <s v="Private forest-Andira retusa"/>
    <s v="Private forest-Andira retusa-5"/>
    <n v="3.4"/>
    <n v="0.67"/>
    <n v="125.29"/>
    <n v="0.23588781429382899"/>
    <n v="0.47"/>
    <x v="0"/>
  </r>
  <r>
    <x v="1"/>
    <x v="0"/>
    <s v="Industrial Forest"/>
    <n v="100"/>
    <s v="Andira parviflora"/>
    <n v="15"/>
    <n v="8"/>
    <n v="3"/>
    <n v="20"/>
    <n v="101.37839305068346"/>
    <n v="25.85"/>
    <n v="1.0137839305068346"/>
    <n v="1.0137839305068346"/>
    <n v="129.25596091169712"/>
    <s v="Industrial Forest-Andira parviflora-3"/>
    <s v="Industrial Forest-Andira parviflora"/>
    <s v="Industrial Forest-Andira parviflora-8"/>
    <n v="3.4"/>
    <n v="0.69"/>
    <n v="46.919999999999995"/>
    <n v="0.25377068483187326"/>
    <n v="0.47"/>
    <x v="1"/>
  </r>
  <r>
    <x v="1"/>
    <x v="0"/>
    <s v="Plantation forest"/>
    <n v="200"/>
    <s v="Aniba amazonica"/>
    <s v=""/>
    <n v="20"/>
    <n v="30"/>
    <s v=""/>
    <e v="#VALUE!"/>
    <n v="25.85"/>
    <e v="#VALUE!"/>
    <e v="#VALUE!"/>
    <n v="25.85"/>
    <s v="Plantation forest-Aniba amazonica-30"/>
    <s v="Plantation forest-Aniba amazonica"/>
    <s v="Plantation forest-Aniba amazonica-20"/>
    <n v="3.4"/>
    <n v="0.56000000000000005"/>
    <e v="#VALUE!"/>
    <e v="#VALUE!"/>
    <n v="0.47"/>
    <x v="0"/>
  </r>
  <r>
    <x v="1"/>
    <x v="0"/>
    <s v="Private forest"/>
    <n v="200"/>
    <s v="Andira retusa"/>
    <n v="10"/>
    <n v="5"/>
    <n v="5"/>
    <n v="30"/>
    <n v="146.83523127090882"/>
    <n v="25.85"/>
    <n v="2.9367046254181766"/>
    <n v="5.8734092508363531"/>
    <n v="181.49534514716333"/>
    <s v="Private forest-Andira retusa-5"/>
    <s v="Private forest-Andira retusa"/>
    <s v="Private forest-Andira retusa-5"/>
    <n v="3.4"/>
    <n v="0.67"/>
    <n v="68.34"/>
    <n v="0.24676903856167587"/>
    <n v="0.47"/>
    <x v="0"/>
  </r>
  <r>
    <x v="2"/>
    <x v="0"/>
    <s v="Industrial Forest"/>
    <n v="100"/>
    <s v="Andira parviflora"/>
    <n v="15"/>
    <n v="8"/>
    <n v="8"/>
    <n v="45"/>
    <n v="225.39822059265435"/>
    <n v="25.85"/>
    <n v="2.2539822059265435"/>
    <n v="2.2539822059265435"/>
    <n v="255.75618500450744"/>
    <s v="Industrial Forest-Andira parviflora-8"/>
    <s v="Industrial Forest-Andira parviflora"/>
    <s v="Industrial Forest-Andira parviflora-8"/>
    <n v="3.4"/>
    <n v="0.69"/>
    <n v="105.56999999999998"/>
    <n v="0.23891260976008338"/>
    <n v="0.47"/>
    <x v="1"/>
  </r>
  <r>
    <x v="2"/>
    <x v="0"/>
    <s v="Plantation forest"/>
    <n v="200"/>
    <s v="Aniba amazonica"/>
    <s v=""/>
    <n v="20"/>
    <n v="35"/>
    <s v=""/>
    <e v="#VALUE!"/>
    <n v="25.85"/>
    <e v="#VALUE!"/>
    <e v="#VALUE!"/>
    <n v="25.85"/>
    <s v="Plantation forest-Aniba amazonica-35"/>
    <s v="Plantation forest-Aniba amazonica"/>
    <s v="Plantation forest-Aniba amazonica-20"/>
    <n v="3.4"/>
    <n v="0.56000000000000005"/>
    <e v="#VALUE!"/>
    <e v="#VALUE!"/>
    <n v="0.47"/>
    <x v="0"/>
  </r>
  <r>
    <x v="2"/>
    <x v="0"/>
    <s v="Private forest"/>
    <n v="200"/>
    <s v="Andira retusa"/>
    <n v="10"/>
    <n v="5"/>
    <n v="10"/>
    <n v="55"/>
    <n v="266.84848886245254"/>
    <n v="25.85"/>
    <n v="5.3369697772490508"/>
    <n v="10.673939554498102"/>
    <n v="308.70939819419971"/>
    <s v="Private forest-Andira retusa-10"/>
    <s v="Private forest-Andira retusa"/>
    <s v="Private forest-Andira retusa-5"/>
    <n v="3.4"/>
    <n v="0.67"/>
    <n v="125.29"/>
    <n v="0.23588781429382899"/>
    <n v="0.47"/>
    <x v="0"/>
  </r>
  <r>
    <x v="3"/>
    <x v="0"/>
    <s v="Industrial Forest"/>
    <n v="100"/>
    <s v="Andira parviflora"/>
    <n v="15"/>
    <n v="8"/>
    <n v="13"/>
    <n v="70"/>
    <n v="348.43296844883218"/>
    <n v="25.85"/>
    <n v="3.4843296844883218"/>
    <n v="3.4843296844883218"/>
    <n v="381.25162781780887"/>
    <s v="Industrial Forest-Andira parviflora-13"/>
    <s v="Industrial Forest-Andira parviflora"/>
    <s v="Industrial Forest-Andira parviflora-8"/>
    <n v="3.4"/>
    <n v="0.69"/>
    <n v="164.21999999999997"/>
    <n v="0.23118666984504291"/>
    <n v="0.47"/>
    <x v="1"/>
  </r>
  <r>
    <x v="3"/>
    <x v="0"/>
    <s v="Plantation forest"/>
    <n v="200"/>
    <s v="Aniba amazonica"/>
    <s v=""/>
    <n v="20"/>
    <n v="40"/>
    <s v=""/>
    <e v="#VALUE!"/>
    <n v="25.85"/>
    <e v="#VALUE!"/>
    <e v="#VALUE!"/>
    <n v="25.85"/>
    <s v="Plantation forest-Aniba amazonica-40"/>
    <s v="Plantation forest-Aniba amazonica"/>
    <s v="Plantation forest-Aniba amazonica-20"/>
    <n v="3.4"/>
    <n v="0.56000000000000005"/>
    <e v="#VALUE!"/>
    <e v="#VALUE!"/>
    <n v="0.47"/>
    <x v="0"/>
  </r>
  <r>
    <x v="3"/>
    <x v="0"/>
    <s v="Private forest"/>
    <n v="200"/>
    <s v="Andira retusa"/>
    <n v="10"/>
    <n v="5"/>
    <n v="5"/>
    <n v="30"/>
    <n v="146.83523127090882"/>
    <n v="25.85"/>
    <n v="2.9367046254181766"/>
    <n v="5.8734092508363531"/>
    <n v="181.49534514716333"/>
    <s v="Private forest-Andira retusa-5"/>
    <s v="Private forest-Andira retusa"/>
    <s v="Private forest-Andira retusa-5"/>
    <n v="3.4"/>
    <n v="0.67"/>
    <n v="68.34"/>
    <n v="0.24676903856167587"/>
    <n v="0.47"/>
    <x v="0"/>
  </r>
  <r>
    <x v="4"/>
    <x v="0"/>
    <s v="Industrial Forest"/>
    <n v="100"/>
    <s v="Andira parviflora"/>
    <n v="15"/>
    <n v="8"/>
    <n v="3"/>
    <n v="20"/>
    <n v="101.37839305068346"/>
    <n v="25.85"/>
    <n v="1.0137839305068346"/>
    <n v="1.0137839305068346"/>
    <n v="129.25596091169712"/>
    <s v="Industrial Forest-Andira parviflora-3"/>
    <s v="Industrial Forest-Andira parviflora"/>
    <s v="Industrial Forest-Andira parviflora-8"/>
    <n v="3.4"/>
    <n v="0.69"/>
    <n v="46.919999999999995"/>
    <n v="0.25377068483187326"/>
    <n v="0.47"/>
    <x v="1"/>
  </r>
  <r>
    <x v="4"/>
    <x v="0"/>
    <s v="Plantation forest"/>
    <n v="200"/>
    <s v="Aniba amazonica"/>
    <s v=""/>
    <n v="20"/>
    <n v="45"/>
    <s v=""/>
    <e v="#VALUE!"/>
    <n v="25.85"/>
    <e v="#VALUE!"/>
    <e v="#VALUE!"/>
    <n v="25.85"/>
    <s v="Plantation forest-Aniba amazonica-45"/>
    <s v="Plantation forest-Aniba amazonica"/>
    <s v="Plantation forest-Aniba amazonica-20"/>
    <n v="3.4"/>
    <n v="0.56000000000000005"/>
    <e v="#VALUE!"/>
    <e v="#VALUE!"/>
    <n v="0.47"/>
    <x v="0"/>
  </r>
  <r>
    <x v="4"/>
    <x v="0"/>
    <s v="Private forest"/>
    <n v="200"/>
    <s v="Andira retusa"/>
    <n v="10"/>
    <n v="5"/>
    <n v="0"/>
    <s v=""/>
    <e v="#VALUE!"/>
    <n v="25.85"/>
    <e v="#VALUE!"/>
    <e v="#VALUE!"/>
    <n v="25.85"/>
    <s v="Private forest-Andira retusa-0"/>
    <s v="Private forest-Andira retusa"/>
    <s v="Private forest-Andira retusa-5"/>
    <n v="3.4"/>
    <n v="0.67"/>
    <e v="#VALUE!"/>
    <e v="#VALUE!"/>
    <n v="0.47"/>
    <x v="0"/>
  </r>
  <r>
    <x v="5"/>
    <x v="0"/>
    <s v="Industrial Forest"/>
    <n v="100"/>
    <s v="Andira parviflora"/>
    <n v="15"/>
    <n v="8"/>
    <n v="8"/>
    <n v="45"/>
    <n v="225.39822059265435"/>
    <n v="25.85"/>
    <n v="2.2539822059265435"/>
    <n v="2.2539822059265435"/>
    <n v="255.75618500450744"/>
    <s v="Industrial Forest-Andira parviflora-8"/>
    <s v="Industrial Forest-Andira parviflora"/>
    <s v="Industrial Forest-Andira parviflora-8"/>
    <n v="3.4"/>
    <n v="0.69"/>
    <n v="105.56999999999998"/>
    <n v="0.23891260976008338"/>
    <n v="0.47"/>
    <x v="1"/>
  </r>
  <r>
    <x v="5"/>
    <x v="0"/>
    <s v="Plantation forest"/>
    <n v="200"/>
    <s v="Aniba amazonica"/>
    <s v=""/>
    <n v="20"/>
    <n v="50"/>
    <s v=""/>
    <e v="#VALUE!"/>
    <n v="25.85"/>
    <e v="#VALUE!"/>
    <e v="#VALUE!"/>
    <n v="25.85"/>
    <s v="Plantation forest-Aniba amazonica-50"/>
    <s v="Plantation forest-Aniba amazonica"/>
    <s v="Plantation forest-Aniba amazonica-20"/>
    <n v="3.4"/>
    <n v="0.56000000000000005"/>
    <e v="#VALUE!"/>
    <e v="#VALUE!"/>
    <n v="0.47"/>
    <x v="0"/>
  </r>
  <r>
    <x v="5"/>
    <x v="0"/>
    <s v="Private forest"/>
    <n v="200"/>
    <s v="Andira retusa"/>
    <n v="10"/>
    <n v="5"/>
    <n v="5"/>
    <n v="30"/>
    <n v="146.83523127090882"/>
    <n v="25.85"/>
    <n v="2.9367046254181766"/>
    <n v="5.8734092508363531"/>
    <n v="181.49534514716333"/>
    <s v="Private forest-Andira retusa-5"/>
    <s v="Private forest-Andira retusa"/>
    <s v="Private forest-Andira retusa-5"/>
    <n v="3.4"/>
    <n v="0.67"/>
    <n v="68.34"/>
    <n v="0.24676903856167587"/>
    <n v="0.47"/>
    <x v="0"/>
  </r>
  <r>
    <x v="6"/>
    <x v="0"/>
    <s v="Industrial Forest"/>
    <n v="100"/>
    <s v="Andira parviflora"/>
    <n v="15"/>
    <n v="8"/>
    <n v="13"/>
    <n v="70"/>
    <n v="348.43296844883218"/>
    <n v="25.85"/>
    <n v="3.4843296844883218"/>
    <n v="3.4843296844883218"/>
    <n v="381.25162781780887"/>
    <s v="Industrial Forest-Andira parviflora-13"/>
    <s v="Industrial Forest-Andira parviflora"/>
    <s v="Industrial Forest-Andira parviflora-8"/>
    <n v="3.4"/>
    <n v="0.69"/>
    <n v="164.21999999999997"/>
    <n v="0.23118666984504291"/>
    <n v="0.47"/>
    <x v="1"/>
  </r>
  <r>
    <x v="6"/>
    <x v="0"/>
    <s v="Plantation forest"/>
    <n v="200"/>
    <s v="Aniba amazonica"/>
    <s v=""/>
    <n v="20"/>
    <n v="55"/>
    <s v=""/>
    <e v="#VALUE!"/>
    <n v="25.85"/>
    <e v="#VALUE!"/>
    <e v="#VALUE!"/>
    <n v="25.85"/>
    <s v="Plantation forest-Aniba amazonica-55"/>
    <s v="Plantation forest-Aniba amazonica"/>
    <s v="Plantation forest-Aniba amazonica-20"/>
    <n v="3.4"/>
    <n v="0.56000000000000005"/>
    <e v="#VALUE!"/>
    <e v="#VALUE!"/>
    <n v="0.47"/>
    <x v="0"/>
  </r>
  <r>
    <x v="6"/>
    <x v="0"/>
    <s v="Private forest"/>
    <n v="200"/>
    <s v="Andira retusa"/>
    <n v="10"/>
    <n v="5"/>
    <n v="0"/>
    <s v=""/>
    <e v="#VALUE!"/>
    <n v="25.85"/>
    <e v="#VALUE!"/>
    <e v="#VALUE!"/>
    <n v="25.85"/>
    <s v="Private forest-Andira retusa-0"/>
    <s v="Private forest-Andira retusa"/>
    <s v="Private forest-Andira retusa-5"/>
    <n v="3.4"/>
    <n v="0.67"/>
    <e v="#VALUE!"/>
    <e v="#VALUE!"/>
    <n v="0.47"/>
    <x v="0"/>
  </r>
  <r>
    <x v="7"/>
    <x v="0"/>
    <s v="Industrial Forest"/>
    <n v="100"/>
    <s v="Andira parviflora"/>
    <n v="15"/>
    <n v="8"/>
    <n v="3"/>
    <n v="20"/>
    <n v="101.37839305068346"/>
    <n v="25.85"/>
    <n v="1.0137839305068346"/>
    <n v="1.0137839305068346"/>
    <n v="129.25596091169712"/>
    <s v="Industrial Forest-Andira parviflora-3"/>
    <s v="Industrial Forest-Andira parviflora"/>
    <s v="Industrial Forest-Andira parviflora-8"/>
    <n v="3.4"/>
    <n v="0.69"/>
    <n v="46.919999999999995"/>
    <n v="0.25377068483187326"/>
    <n v="0.47"/>
    <x v="1"/>
  </r>
  <r>
    <x v="7"/>
    <x v="0"/>
    <s v="Plantation forest"/>
    <n v="200"/>
    <s v="Aniba amazonica"/>
    <s v=""/>
    <n v="20"/>
    <n v="60"/>
    <s v=""/>
    <e v="#VALUE!"/>
    <n v="25.85"/>
    <e v="#VALUE!"/>
    <e v="#VALUE!"/>
    <n v="25.85"/>
    <s v="Plantation forest-Aniba amazonica-60"/>
    <s v="Plantation forest-Aniba amazonica"/>
    <s v="Plantation forest-Aniba amazonica-20"/>
    <n v="3.4"/>
    <n v="0.56000000000000005"/>
    <e v="#VALUE!"/>
    <e v="#VALUE!"/>
    <n v="0.47"/>
    <x v="0"/>
  </r>
  <r>
    <x v="7"/>
    <x v="0"/>
    <s v="Private forest"/>
    <n v="200"/>
    <s v="Andira retusa"/>
    <n v="10"/>
    <n v="5"/>
    <n v="5"/>
    <n v="30"/>
    <n v="146.83523127090882"/>
    <n v="25.85"/>
    <n v="2.9367046254181766"/>
    <n v="5.8734092508363531"/>
    <n v="181.49534514716333"/>
    <s v="Private forest-Andira retusa-5"/>
    <s v="Private forest-Andira retusa"/>
    <s v="Private forest-Andira retusa-5"/>
    <n v="3.4"/>
    <n v="0.67"/>
    <n v="68.34"/>
    <n v="0.24676903856167587"/>
    <n v="0.47"/>
    <x v="0"/>
  </r>
  <r>
    <x v="8"/>
    <x v="0"/>
    <s v="Industrial Forest"/>
    <n v="100"/>
    <s v="Andira parviflora"/>
    <n v="15"/>
    <n v="8"/>
    <n v="8"/>
    <n v="45"/>
    <n v="225.39822059265435"/>
    <n v="25.85"/>
    <n v="2.2539822059265435"/>
    <n v="2.2539822059265435"/>
    <n v="255.75618500450744"/>
    <s v="Industrial Forest-Andira parviflora-8"/>
    <s v="Industrial Forest-Andira parviflora"/>
    <s v="Industrial Forest-Andira parviflora-8"/>
    <n v="3.4"/>
    <n v="0.69"/>
    <n v="105.56999999999998"/>
    <n v="0.23891260976008338"/>
    <n v="0.47"/>
    <x v="1"/>
  </r>
  <r>
    <x v="8"/>
    <x v="0"/>
    <s v="Plantation forest"/>
    <n v="200"/>
    <s v="Aniba amazonica"/>
    <s v=""/>
    <n v="20"/>
    <n v="65"/>
    <s v=""/>
    <e v="#VALUE!"/>
    <n v="25.85"/>
    <e v="#VALUE!"/>
    <e v="#VALUE!"/>
    <n v="25.85"/>
    <s v="Plantation forest-Aniba amazonica-65"/>
    <s v="Plantation forest-Aniba amazonica"/>
    <s v="Plantation forest-Aniba amazonica-20"/>
    <n v="3.4"/>
    <n v="0.56000000000000005"/>
    <e v="#VALUE!"/>
    <e v="#VALUE!"/>
    <n v="0.47"/>
    <x v="0"/>
  </r>
  <r>
    <x v="8"/>
    <x v="0"/>
    <s v="Private forest"/>
    <n v="200"/>
    <s v="Andira retusa"/>
    <n v="10"/>
    <n v="5"/>
    <n v="0"/>
    <s v=""/>
    <e v="#VALUE!"/>
    <n v="25.85"/>
    <e v="#VALUE!"/>
    <e v="#VALUE!"/>
    <n v="25.85"/>
    <s v="Private forest-Andira retusa-0"/>
    <s v="Private forest-Andira retusa"/>
    <s v="Private forest-Andira retusa-5"/>
    <n v="3.4"/>
    <n v="0.67"/>
    <e v="#VALUE!"/>
    <e v="#VALUE!"/>
    <n v="0.47"/>
    <x v="0"/>
  </r>
  <r>
    <x v="9"/>
    <x v="0"/>
    <s v="Industrial Forest"/>
    <n v="100"/>
    <s v="Andira parviflora"/>
    <n v="15"/>
    <n v="8"/>
    <n v="8"/>
    <n v="45"/>
    <n v="225.39822059265435"/>
    <n v="25.85"/>
    <n v="2.2539822059265435"/>
    <n v="2.2539822059265435"/>
    <n v="255.75618500450744"/>
    <s v="Industrial Forest-Andira parviflora-8"/>
    <s v="Industrial Forest-Andira parviflora"/>
    <s v="Industrial Forest-Andira parviflora-8"/>
    <n v="3.4"/>
    <n v="0.69"/>
    <n v="105.56999999999998"/>
    <n v="0.23891260976008338"/>
    <n v="0.47"/>
    <x v="1"/>
  </r>
  <r>
    <x v="9"/>
    <x v="0"/>
    <s v="Plantation forest"/>
    <n v="200"/>
    <s v="Aniba amazonica"/>
    <s v=""/>
    <n v="20"/>
    <n v="20"/>
    <s v=""/>
    <e v="#VALUE!"/>
    <n v="25.85"/>
    <e v="#VALUE!"/>
    <e v="#VALUE!"/>
    <n v="25.85"/>
    <s v="Plantation forest-Aniba amazonica-20"/>
    <s v="Plantation forest-Aniba amazonica"/>
    <s v="Plantation forest-Aniba amazonica-20"/>
    <n v="3.4"/>
    <n v="0.56000000000000005"/>
    <e v="#VALUE!"/>
    <e v="#VALUE!"/>
    <n v="0.47"/>
    <x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900-000001000000}" name="PivotTable3" cacheId="0" applyNumberFormats="0" applyBorderFormats="0" applyFontFormats="0" applyPatternFormats="0" applyAlignmentFormats="0" applyWidthHeightFormats="1" dataCaption="Values" showMissing="0" updatedVersion="6" minRefreshableVersion="3" useAutoFormatting="1" rowGrandTotals="0" itemPrintTitles="1" createdVersion="4" indent="0" showHeaders="0" compact="0" compactData="0" multipleFieldFilters="0" chartFormat="8">
  <location ref="O4" firstHeaderRow="0" firstDataRow="0" firstDataCol="1"/>
  <pivotFields count="29">
    <pivotField compact="0" outline="0" showAll="0" defaultSubtotal="0">
      <items count="3">
        <item x="1"/>
        <item x="2"/>
        <item x="0"/>
      </items>
    </pivotField>
    <pivotField axis="axisRow" compact="0" outline="0" showAll="0" defaultSubtotal="0">
      <items count="10">
        <item m="1" x="7"/>
        <item m="1" x="3"/>
        <item m="1" x="4"/>
        <item m="1" x="2"/>
        <item m="1" x="9"/>
        <item m="1" x="1"/>
        <item x="0"/>
        <item m="1" x="6"/>
        <item m="1" x="5"/>
        <item m="1" x="8"/>
      </items>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defaultSubtotal="0"/>
    <pivotField compact="0" outline="0" showAll="0"/>
    <pivotField compact="0" outline="0" showAll="0"/>
    <pivotField compact="0" outline="0" showAll="0"/>
    <pivotField compact="0" outline="0" showAll="0"/>
    <pivotField compact="0" outline="0" dragToRow="0" dragToCol="0" dragToPage="0" showAll="0" defaultSubtotal="0"/>
  </pivotFields>
  <rowFields count="1">
    <field x="1"/>
  </rowFields>
  <rowItems count="1">
    <i>
      <x v="6"/>
    </i>
  </rowItems>
  <colItems count="1">
    <i/>
  </colItems>
  <formats count="1">
    <format dxfId="74">
      <pivotArea outline="0" collapsedLevelsAreSubtotals="1" fieldPosition="0"/>
    </format>
  </formats>
  <pivotTableStyleInfo name="PivotStyleMedium9" showRowHeaders="1" showColHeaders="1" showRowStripes="0" showColStripes="0" showLastColumn="1"/>
  <extLs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900-000000000000}" name="PivotTable1" cacheId="0" applyNumberFormats="0" applyBorderFormats="0" applyFontFormats="0" applyPatternFormats="0" applyAlignmentFormats="0" applyWidthHeightFormats="1" dataCaption="Values" updatedVersion="6" minRefreshableVersion="3" useAutoFormatting="1" rowGrandTotals="0" itemPrintTitles="1" createdVersion="4" indent="0" compact="0" compactData="0" gridDropZones="1">
  <location ref="A4:L8" firstHeaderRow="1" firstDataRow="2" firstDataCol="5"/>
  <pivotFields count="29">
    <pivotField compact="0" outline="0" showAll="0" defaultSubtotal="0">
      <items count="3">
        <item x="1"/>
        <item x="2"/>
        <item x="0"/>
      </items>
    </pivotField>
    <pivotField axis="axisRow" dataField="1" compact="0" outline="0" showAll="0" sortType="ascending" defaultSubtotal="0">
      <items count="10">
        <item m="1" x="3"/>
        <item m="1" x="4"/>
        <item m="1" x="7"/>
        <item m="1" x="2"/>
        <item sd="0" m="1" x="6"/>
        <item m="1" x="9"/>
        <item m="1" x="1"/>
        <item x="0"/>
        <item m="1" x="5"/>
        <item m="1" x="8"/>
      </items>
    </pivotField>
    <pivotField axis="axisRow" dataField="1" compact="0" outline="0" showAll="0" defaultSubtotal="0">
      <items count="20">
        <item m="1" x="12"/>
        <item m="1" x="7"/>
        <item m="1" x="13"/>
        <item m="1" x="18"/>
        <item m="1" x="4"/>
        <item m="1" x="8"/>
        <item m="1" x="11"/>
        <item m="1" x="14"/>
        <item m="1" x="15"/>
        <item m="1" x="16"/>
        <item m="1" x="17"/>
        <item m="1" x="19"/>
        <item m="1" x="3"/>
        <item m="1" x="5"/>
        <item m="1" x="6"/>
        <item m="1" x="9"/>
        <item m="1" x="10"/>
        <item x="0"/>
        <item x="1"/>
        <item x="2"/>
      </items>
    </pivotField>
    <pivotField axis="axisRow" compact="0" outline="0" showAll="0" defaultSubtotal="0">
      <items count="55">
        <item m="1" x="45"/>
        <item m="1" x="39"/>
        <item m="1" x="42"/>
        <item m="1" x="52"/>
        <item m="1" x="7"/>
        <item m="1" x="18"/>
        <item m="1" x="21"/>
        <item m="1" x="22"/>
        <item m="1" x="47"/>
        <item m="1" x="8"/>
        <item m="1" x="23"/>
        <item m="1" x="25"/>
        <item m="1" x="49"/>
        <item m="1" x="19"/>
        <item m="1" x="27"/>
        <item m="1" x="33"/>
        <item m="1" x="30"/>
        <item m="1" x="5"/>
        <item m="1" x="29"/>
        <item m="1" x="6"/>
        <item m="1" x="17"/>
        <item m="1" x="38"/>
        <item m="1" x="37"/>
        <item m="1" x="48"/>
        <item m="1" x="13"/>
        <item m="1" x="40"/>
        <item m="1" x="28"/>
        <item m="1" x="16"/>
        <item m="1" x="41"/>
        <item m="1" x="14"/>
        <item m="1" x="10"/>
        <item m="1" x="35"/>
        <item m="1" x="36"/>
        <item m="1" x="26"/>
        <item m="1" x="24"/>
        <item m="1" x="43"/>
        <item m="1" x="44"/>
        <item m="1" x="32"/>
        <item m="1" x="34"/>
        <item m="1" x="46"/>
        <item m="1" x="54"/>
        <item m="1" x="9"/>
        <item m="1" x="51"/>
        <item m="1" x="50"/>
        <item m="1" x="53"/>
        <item m="1" x="11"/>
        <item m="1" x="4"/>
        <item m="1" x="31"/>
        <item m="1" x="3"/>
        <item m="1" x="15"/>
        <item m="1" x="20"/>
        <item m="1" x="12"/>
        <item x="1"/>
        <item x="0"/>
        <item x="2"/>
      </items>
    </pivotField>
    <pivotField compact="0" outline="0" showAll="0" defaultSubtotal="0">
      <extLst>
        <ext xmlns:x14="http://schemas.microsoft.com/office/spreadsheetml/2009/9/main" uri="{2946ED86-A175-432a-8AC1-64E0C546D7DE}">
          <x14:pivotField fillDownLabels="1"/>
        </ext>
      </extLst>
    </pivotField>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compact="0" outline="0" showAll="0" defaultSubtotal="0"/>
    <pivotField axis="axisRow" dataField="1" compact="0" outline="0" showAll="0">
      <items count="1756">
        <item m="1" x="308"/>
        <item m="1" x="636"/>
        <item m="1" x="480"/>
        <item m="1" x="489"/>
        <item m="1" x="1276"/>
        <item m="1" x="233"/>
        <item m="1" x="963"/>
        <item m="1" x="799"/>
        <item m="1" x="1077"/>
        <item m="1" x="174"/>
        <item m="1" x="1712"/>
        <item m="1" x="1176"/>
        <item m="1" x="609"/>
        <item m="1" x="1016"/>
        <item m="1" x="90"/>
        <item m="1" x="1497"/>
        <item m="1" x="723"/>
        <item m="1" x="227"/>
        <item m="1" x="646"/>
        <item m="1" x="1506"/>
        <item m="1" x="1108"/>
        <item m="1" x="1103"/>
        <item m="1" x="466"/>
        <item m="1" x="270"/>
        <item m="1" x="1294"/>
        <item m="1" x="112"/>
        <item m="1" x="240"/>
        <item m="1" x="860"/>
        <item m="1" x="944"/>
        <item m="1" x="1616"/>
        <item m="1" x="1572"/>
        <item m="1" x="1454"/>
        <item m="1" x="1580"/>
        <item m="1" x="216"/>
        <item m="1" x="1517"/>
        <item m="1" x="1109"/>
        <item m="1" x="289"/>
        <item m="1" x="1366"/>
        <item m="1" x="1130"/>
        <item m="1" x="1269"/>
        <item m="1" x="1043"/>
        <item m="1" x="644"/>
        <item m="1" x="984"/>
        <item m="1" x="1457"/>
        <item m="1" x="1280"/>
        <item m="1" x="1474"/>
        <item m="1" x="1621"/>
        <item m="1" x="562"/>
        <item m="1" x="1491"/>
        <item m="1" x="823"/>
        <item m="1" x="307"/>
        <item m="1" x="715"/>
        <item m="1" x="1052"/>
        <item m="1" x="1726"/>
        <item m="1" x="1605"/>
        <item m="1" x="675"/>
        <item m="1" x="410"/>
        <item m="1" x="1031"/>
        <item m="1" x="664"/>
        <item m="1" x="652"/>
        <item m="1" x="288"/>
        <item m="1" x="150"/>
        <item m="1" x="1086"/>
        <item m="1" x="49"/>
        <item m="1" x="425"/>
        <item m="1" x="1487"/>
        <item m="1" x="1455"/>
        <item m="1" x="1696"/>
        <item m="1" x="613"/>
        <item m="1" x="91"/>
        <item m="1" x="324"/>
        <item m="1" x="261"/>
        <item m="1" x="760"/>
        <item m="1" x="1124"/>
        <item m="1" x="1190"/>
        <item m="1" x="1440"/>
        <item m="1" x="1187"/>
        <item m="1" x="724"/>
        <item m="1" x="130"/>
        <item m="1" x="102"/>
        <item m="1" x="1505"/>
        <item m="1" x="1484"/>
        <item m="1" x="411"/>
        <item m="1" x="1708"/>
        <item m="1" x="1458"/>
        <item m="1" x="1140"/>
        <item m="1" x="235"/>
        <item m="1" x="1257"/>
        <item m="1" x="554"/>
        <item m="1" x="305"/>
        <item m="1" x="136"/>
        <item m="1" x="427"/>
        <item m="1" x="806"/>
        <item m="1" x="1249"/>
        <item m="1" x="82"/>
        <item m="1" x="384"/>
        <item m="1" x="939"/>
        <item m="1" x="807"/>
        <item m="1" x="1214"/>
        <item m="1" x="973"/>
        <item m="1" x="1539"/>
        <item m="1" x="800"/>
        <item m="1" x="458"/>
        <item m="1" x="992"/>
        <item m="1" x="221"/>
        <item m="1" x="320"/>
        <item m="1" x="479"/>
        <item m="1" x="335"/>
        <item m="1" x="435"/>
        <item m="1" x="1508"/>
        <item m="1" x="1415"/>
        <item m="1" x="1122"/>
        <item m="1" x="139"/>
        <item m="1" x="1201"/>
        <item m="1" x="869"/>
        <item m="1" x="762"/>
        <item m="1" x="1402"/>
        <item m="1" x="850"/>
        <item m="1" x="291"/>
        <item m="1" x="940"/>
        <item m="1" x="756"/>
        <item m="1" x="1499"/>
        <item m="1" x="46"/>
        <item m="1" x="514"/>
        <item m="1" x="542"/>
        <item m="1" x="366"/>
        <item m="1" x="1287"/>
        <item m="1" x="310"/>
        <item m="1" x="1695"/>
        <item m="1" x="925"/>
        <item m="1" x="107"/>
        <item m="1" x="727"/>
        <item m="1" x="251"/>
        <item m="1" x="370"/>
        <item m="1" x="1179"/>
        <item m="1" x="1267"/>
        <item m="1" x="187"/>
        <item m="1" x="737"/>
        <item m="1" x="1332"/>
        <item m="1" x="595"/>
        <item m="1" x="1164"/>
        <item m="1" x="933"/>
        <item m="1" x="1047"/>
        <item m="1" x="1054"/>
        <item m="1" x="814"/>
        <item m="1" x="1198"/>
        <item m="1" x="1069"/>
        <item m="1" x="969"/>
        <item m="1" x="596"/>
        <item m="1" x="838"/>
        <item m="1" x="1689"/>
        <item m="1" x="983"/>
        <item m="1" x="680"/>
        <item m="1" x="706"/>
        <item m="1" x="1641"/>
        <item m="1" x="180"/>
        <item m="1" x="236"/>
        <item m="1" x="1358"/>
        <item m="1" x="632"/>
        <item m="1" x="442"/>
        <item m="1" x="958"/>
        <item m="1" x="1549"/>
        <item m="1" x="488"/>
        <item m="1" x="428"/>
        <item m="1" x="382"/>
        <item m="1" x="375"/>
        <item m="1" x="1118"/>
        <item m="1" x="287"/>
        <item m="1" x="1436"/>
        <item m="1" x="26"/>
        <item m="1" x="837"/>
        <item m="1" x="729"/>
        <item m="1" x="396"/>
        <item m="1" x="1738"/>
        <item m="1" x="13"/>
        <item m="1" x="1365"/>
        <item m="1" x="530"/>
        <item m="1" x="601"/>
        <item m="1" x="1032"/>
        <item m="1" x="1009"/>
        <item m="1" x="929"/>
        <item m="1" x="725"/>
        <item m="1" x="968"/>
        <item m="1" x="1168"/>
        <item m="1" x="1478"/>
        <item m="1" x="1520"/>
        <item m="1" x="828"/>
        <item m="1" x="1665"/>
        <item m="1" x="1630"/>
        <item m="1" x="1435"/>
        <item m="1" x="953"/>
        <item m="1" x="1516"/>
        <item m="1" x="204"/>
        <item m="1" x="244"/>
        <item m="1" x="1360"/>
        <item m="1" x="22"/>
        <item m="1" x="713"/>
        <item m="1" x="808"/>
        <item m="1" x="1701"/>
        <item m="1" x="831"/>
        <item m="1" x="577"/>
        <item m="1" x="215"/>
        <item m="1" x="966"/>
        <item m="1" x="576"/>
        <item m="1" x="1564"/>
        <item m="1" x="563"/>
        <item m="1" x="663"/>
        <item m="1" x="424"/>
        <item m="1" x="1279"/>
        <item m="1" x="1389"/>
        <item m="1" x="873"/>
        <item m="1" x="996"/>
        <item m="1" x="1752"/>
        <item m="1" x="1152"/>
        <item m="1" x="941"/>
        <item m="1" x="1565"/>
        <item m="1" x="1447"/>
        <item m="1" x="1091"/>
        <item m="1" x="1560"/>
        <item m="1" x="197"/>
        <item m="1" x="1719"/>
        <item m="1" x="1503"/>
        <item m="1" x="993"/>
        <item m="1" x="192"/>
        <item m="1" x="1718"/>
        <item m="1" x="65"/>
        <item m="1" x="555"/>
        <item m="1" x="708"/>
        <item m="1" x="70"/>
        <item m="1" x="803"/>
        <item m="1" x="1058"/>
        <item m="1" x="152"/>
        <item m="1" x="785"/>
        <item m="1" x="51"/>
        <item m="1" x="693"/>
        <item m="1" x="365"/>
        <item m="1" x="875"/>
        <item m="1" x="23"/>
        <item m="1" x="386"/>
        <item m="1" x="1544"/>
        <item m="1" x="616"/>
        <item m="1" x="1239"/>
        <item m="1" x="487"/>
        <item m="1" x="718"/>
        <item m="1" x="1182"/>
        <item m="1" x="1449"/>
        <item m="1" x="433"/>
        <item m="1" x="1747"/>
        <item m="1" x="147"/>
        <item m="1" x="1040"/>
        <item m="1" x="892"/>
        <item m="1" x="1550"/>
        <item m="1" x="1408"/>
        <item m="1" x="816"/>
        <item m="1" x="878"/>
        <item m="1" x="25"/>
        <item m="1" x="1228"/>
        <item m="1" x="1225"/>
        <item m="1" x="243"/>
        <item m="1" x="991"/>
        <item m="1" x="1167"/>
        <item m="1" x="121"/>
        <item m="1" x="1585"/>
        <item m="1" x="27"/>
        <item m="1" x="989"/>
        <item m="1" x="937"/>
        <item m="1" x="643"/>
        <item m="1" x="1373"/>
        <item m="1" x="477"/>
        <item m="1" x="1261"/>
        <item m="1" x="948"/>
        <item m="1" x="1437"/>
        <item m="1" x="1281"/>
        <item m="1" x="1126"/>
        <item m="1" x="1526"/>
        <item m="1" x="326"/>
        <item m="1" x="666"/>
        <item m="1" x="229"/>
        <item m="1" x="1212"/>
        <item m="1" x="40"/>
        <item m="1" x="186"/>
        <item m="1" x="919"/>
        <item m="1" x="191"/>
        <item m="1" x="634"/>
        <item m="1" x="1657"/>
        <item m="1" x="570"/>
        <item m="1" x="1244"/>
        <item m="1" x="1306"/>
        <item m="1" x="447"/>
        <item m="1" x="1686"/>
        <item m="1" x="294"/>
        <item m="1" x="302"/>
        <item m="1" x="1230"/>
        <item m="1" x="679"/>
        <item m="1" x="668"/>
        <item m="1" x="1409"/>
        <item m="1" x="1087"/>
        <item m="1" x="949"/>
        <item m="1" x="559"/>
        <item m="1" x="193"/>
        <item m="1" x="444"/>
        <item m="1" x="1538"/>
        <item m="1" x="1636"/>
        <item m="1" x="917"/>
        <item m="1" x="1243"/>
        <item m="1" x="1320"/>
        <item m="1" x="1479"/>
        <item m="1" x="1356"/>
        <item m="1" x="327"/>
        <item m="1" x="77"/>
        <item m="1" x="137"/>
        <item m="1" x="914"/>
        <item m="1" x="710"/>
        <item m="1" x="998"/>
        <item m="1" x="1203"/>
        <item m="1" x="142"/>
        <item m="1" x="71"/>
        <item m="1" x="594"/>
        <item m="1" x="671"/>
        <item m="1" x="794"/>
        <item m="1" x="1036"/>
        <item m="1" x="462"/>
        <item m="1" x="478"/>
        <item m="1" x="746"/>
        <item m="1" x="1654"/>
        <item m="1" x="716"/>
        <item m="1" x="529"/>
        <item m="1" x="490"/>
        <item m="1" x="1222"/>
        <item m="1" x="1305"/>
        <item m="1" x="982"/>
        <item m="1" x="1648"/>
        <item m="1" x="1627"/>
        <item m="1" x="28"/>
        <item m="1" x="151"/>
        <item m="1" x="605"/>
        <item m="1" x="252"/>
        <item m="1" x="1698"/>
        <item m="1" x="1213"/>
        <item m="1" x="1254"/>
        <item m="1" x="131"/>
        <item m="1" x="282"/>
        <item m="1" x="786"/>
        <item m="1" x="978"/>
        <item m="1" x="1482"/>
        <item m="1" x="1313"/>
        <item m="1" x="720"/>
        <item m="1" x="67"/>
        <item m="1" x="1523"/>
        <item m="1" x="429"/>
        <item m="1" x="350"/>
        <item m="1" x="1355"/>
        <item m="1" x="20"/>
        <item m="1" x="703"/>
        <item m="1" x="1180"/>
        <item m="1" x="1350"/>
        <item m="1" x="1073"/>
        <item m="1" x="1685"/>
        <item m="1" x="938"/>
        <item m="1" x="1403"/>
        <item m="1" x="826"/>
        <item m="1" x="1742"/>
        <item m="1" x="1284"/>
        <item m="1" x="774"/>
        <item m="1" x="1393"/>
        <item m="1" x="872"/>
        <item m="1" x="303"/>
        <item m="1" x="438"/>
        <item m="1" x="1223"/>
        <item m="1" x="1452"/>
        <item m="1" x="583"/>
        <item m="1" x="1416"/>
        <item m="1" x="1046"/>
        <item m="1" x="565"/>
        <item m="1" x="886"/>
        <item m="1" x="115"/>
        <item m="1" x="1089"/>
        <item m="1" x="1171"/>
        <item m="1" x="788"/>
        <item m="1" x="1012"/>
        <item m="1" x="206"/>
        <item m="1" x="300"/>
        <item m="1" x="256"/>
        <item m="1" x="533"/>
        <item m="1" x="210"/>
        <item m="1" x="167"/>
        <item m="1" x="484"/>
        <item m="1" x="712"/>
        <item m="1" x="1574"/>
        <item m="1" x="373"/>
        <item m="1" x="452"/>
        <item m="1" x="1514"/>
        <item m="1" x="674"/>
        <item m="1" x="1264"/>
        <item m="1" x="1469"/>
        <item m="1" x="1525"/>
        <item m="1" x="1316"/>
        <item m="1" x="1485"/>
        <item m="1" x="4"/>
        <item m="1" x="568"/>
        <item m="1" x="1663"/>
        <item m="1" x="179"/>
        <item m="1" x="1030"/>
        <item m="1" x="1729"/>
        <item m="1" x="990"/>
        <item m="1" x="1237"/>
        <item m="1" x="694"/>
        <item m="1" x="1055"/>
        <item m="1" x="535"/>
        <item m="1" x="1412"/>
        <item m="1" x="1400"/>
        <item m="1" x="421"/>
        <item m="1" x="1252"/>
        <item m="1" x="106"/>
        <item m="1" x="645"/>
        <item m="1" x="1739"/>
        <item m="1" x="575"/>
        <item m="1" x="740"/>
        <item m="1" x="1595"/>
        <item m="1" x="122"/>
        <item m="1" x="1139"/>
        <item m="1" x="638"/>
        <item m="1" x="1236"/>
        <item m="1" x="772"/>
        <item m="1" x="971"/>
        <item m="1" x="500"/>
        <item m="1" x="1692"/>
        <item m="1" x="271"/>
        <item m="1" x="62"/>
        <item m="1" x="463"/>
        <item m="1" x="168"/>
        <item m="1" x="561"/>
        <item m="1" x="1728"/>
        <item m="1" x="399"/>
        <item m="1" x="717"/>
        <item m="1" x="770"/>
        <item m="1" x="275"/>
        <item m="1" x="915"/>
        <item m="1" x="1253"/>
        <item m="1" x="758"/>
        <item m="1" x="1286"/>
        <item m="1" x="286"/>
        <item m="1" x="374"/>
        <item m="1" x="1609"/>
        <item m="1" x="309"/>
        <item m="1" x="1065"/>
        <item m="1" x="1642"/>
        <item m="1" x="676"/>
        <item m="1" x="231"/>
        <item m="1" x="316"/>
        <item m="1" x="1673"/>
        <item m="1" x="1546"/>
        <item m="1" x="297"/>
        <item m="1" x="274"/>
        <item m="1" x="162"/>
        <item m="1" x="426"/>
        <item m="1" x="685"/>
        <item m="1" x="1407"/>
        <item m="1" x="248"/>
        <item m="1" x="681"/>
        <item m="1" x="1603"/>
        <item m="1" x="1418"/>
        <item m="1" x="461"/>
        <item m="1" x="858"/>
        <item m="1" x="1094"/>
        <item m="1" x="1194"/>
        <item m="1" x="1323"/>
        <item m="1" x="201"/>
        <item m="1" x="1380"/>
        <item m="1" x="842"/>
        <item m="1" x="962"/>
        <item m="1" x="536"/>
        <item m="1" x="863"/>
        <item m="1" x="1700"/>
        <item m="1" x="173"/>
        <item m="1" x="1434"/>
        <item m="1" x="457"/>
        <item m="1" x="548"/>
        <item m="1" x="367"/>
        <item m="1" x="75"/>
        <item m="1" x="1134"/>
        <item m="1" x="589"/>
        <item m="1" x="1617"/>
        <item m="1" x="1066"/>
        <item m="1" x="199"/>
        <item m="1" x="1027"/>
        <item m="1" x="1656"/>
        <item m="1" x="1272"/>
        <item m="1" x="1675"/>
        <item m="1" x="35"/>
        <item m="1" x="797"/>
        <item m="1" x="852"/>
        <item m="1" x="1095"/>
        <item m="1" x="1206"/>
        <item m="1" x="1352"/>
        <item m="1" x="1116"/>
        <item m="1" x="1602"/>
        <item m="1" x="242"/>
        <item m="1" x="745"/>
        <item m="1" x="1064"/>
        <item m="1" x="1238"/>
        <item m="1" x="1578"/>
        <item m="1" x="1559"/>
        <item m="1" x="698"/>
        <item m="1" x="1734"/>
        <item m="1" x="934"/>
        <item m="1" x="835"/>
        <item m="1" x="1450"/>
        <item m="1" x="29"/>
        <item m="1" x="1649"/>
        <item m="1" x="709"/>
        <item m="1" x="467"/>
        <item m="1" x="378"/>
        <item m="1" x="125"/>
        <item m="1" x="482"/>
        <item m="1" x="1003"/>
        <item m="1" x="395"/>
        <item m="1" x="262"/>
        <item m="1" x="209"/>
        <item m="1" x="1386"/>
        <item m="1" x="597"/>
        <item m="1" x="665"/>
        <item m="1" x="1414"/>
        <item m="1" x="53"/>
        <item m="1" x="1512"/>
        <item m="1" x="105"/>
        <item m="1" x="897"/>
        <item m="1" x="1443"/>
        <item m="1" x="114"/>
        <item m="1" x="392"/>
        <item m="1" x="742"/>
        <item m="1" x="362"/>
        <item m="1" x="1521"/>
        <item m="1" x="1063"/>
        <item m="1" x="1534"/>
        <item m="1" x="359"/>
        <item m="1" x="61"/>
        <item m="1" x="1076"/>
        <item m="1" x="1600"/>
        <item m="1" x="348"/>
        <item m="1" x="553"/>
        <item m="1" x="903"/>
        <item m="1" x="1090"/>
        <item m="1" x="987"/>
        <item m="1" x="1340"/>
        <item m="1" x="342"/>
        <item m="1" x="874"/>
        <item m="1" x="1369"/>
        <item m="1" x="946"/>
        <item m="1" x="587"/>
        <item m="1" x="311"/>
        <item m="1" x="203"/>
        <item m="1" x="73"/>
        <item m="1" x="1019"/>
        <item m="1" x="521"/>
        <item m="1" x="624"/>
        <item m="1" x="608"/>
        <item m="1" x="647"/>
        <item m="1" x="377"/>
        <item m="1" x="1015"/>
        <item m="1" x="1419"/>
        <item m="1" x="753"/>
        <item m="1" x="1748"/>
        <item m="1" x="697"/>
        <item m="1" x="1599"/>
        <item m="1" x="1438"/>
        <item m="1" x="867"/>
        <item m="1" x="747"/>
        <item m="1" x="363"/>
        <item m="1" x="87"/>
        <item m="1" x="1456"/>
        <item m="1" x="241"/>
        <item m="1" x="518"/>
        <item m="1" x="1220"/>
        <item m="1" x="1638"/>
        <item m="1" x="1345"/>
        <item m="1" x="1562"/>
        <item m="1" x="1041"/>
        <item m="1" x="1346"/>
        <item m="1" x="280"/>
        <item m="1" x="1099"/>
        <item m="1" x="534"/>
        <item m="1" x="789"/>
        <item m="1" x="1114"/>
        <item m="1" x="1723"/>
        <item m="1" x="696"/>
        <item m="1" x="1593"/>
        <item m="1" x="1676"/>
        <item m="1" x="59"/>
        <item m="1" x="999"/>
        <item m="1" x="735"/>
        <item m="1" x="1028"/>
        <item m="1" x="1229"/>
        <item m="1" x="1714"/>
        <item m="1" x="41"/>
        <item m="1" x="641"/>
        <item m="1" x="1330"/>
        <item m="1" x="784"/>
        <item m="1" x="1017"/>
        <item m="1" x="47"/>
        <item m="1" x="119"/>
        <item m="1" x="1381"/>
        <item m="1" x="678"/>
        <item m="1" x="1519"/>
        <item m="1" x="460"/>
        <item m="1" x="669"/>
        <item m="1" x="1342"/>
        <item m="1" x="72"/>
        <item m="1" x="1297"/>
        <item m="1" x="60"/>
        <item m="1" x="684"/>
        <item m="1" x="250"/>
        <item m="1" x="1552"/>
        <item m="1" x="926"/>
        <item m="1" x="387"/>
        <item m="1" x="273"/>
        <item m="1" x="1430"/>
        <item m="1" x="1619"/>
        <item m="1" x="1658"/>
        <item m="1" x="1631"/>
        <item m="1" x="1667"/>
        <item m="1" x="1486"/>
        <item m="1" x="1146"/>
        <item m="1" x="891"/>
        <item m="1" x="752"/>
        <item m="1" x="1524"/>
        <item m="1" x="1462"/>
        <item m="1" x="672"/>
        <item m="1" x="623"/>
        <item m="1" x="695"/>
        <item m="1" x="1008"/>
        <item m="1" x="217"/>
        <item m="1" x="113"/>
        <item m="1" x="607"/>
        <item m="1" x="1697"/>
        <item m="1" x="754"/>
        <item m="1" x="1429"/>
        <item m="1" x="1591"/>
        <item m="1" x="44"/>
        <item m="1" x="705"/>
        <item m="1" x="1021"/>
        <item m="1" x="263"/>
        <item m="1" x="369"/>
        <item m="1" x="394"/>
        <item m="1" x="952"/>
        <item m="1" x="606"/>
        <item m="1" x="92"/>
        <item m="1" x="1302"/>
        <item m="1" x="450"/>
        <item m="1" x="1495"/>
        <item m="1" x="1722"/>
        <item m="1" x="1522"/>
        <item m="1" x="980"/>
        <item m="1" x="1395"/>
        <item m="1" x="239"/>
        <item m="1" x="404"/>
        <item m="1" x="1391"/>
        <item m="1" x="1307"/>
        <item m="1" x="1266"/>
        <item m="1" x="1367"/>
        <item m="1" x="551"/>
        <item m="1" x="768"/>
        <item m="1" x="1377"/>
        <item m="1" x="1588"/>
        <item m="1" x="1285"/>
        <item m="1" x="1155"/>
        <item m="1" x="1169"/>
        <item m="1" x="1299"/>
        <item m="1" x="1650"/>
        <item m="1" x="165"/>
        <item m="1" x="52"/>
        <item m="1" x="298"/>
        <item m="1" x="74"/>
        <item m="1" x="599"/>
        <item m="1" x="1096"/>
        <item m="1" x="834"/>
        <item m="1" x="1399"/>
        <item m="1" x="1507"/>
        <item m="1" x="283"/>
        <item m="1" x="247"/>
        <item m="1" x="1390"/>
        <item m="1" x="1210"/>
        <item m="1" x="368"/>
        <item m="1" x="1363"/>
        <item m="1" x="1325"/>
        <item m="1" x="492"/>
        <item m="1" x="1353"/>
        <item m="1" x="573"/>
        <item m="1" x="1062"/>
        <item m="1" x="376"/>
        <item m="1" x="1371"/>
        <item m="1" x="1607"/>
        <item m="1" x="1333"/>
        <item m="1" x="651"/>
        <item m="1" x="517"/>
        <item m="1" x="459"/>
        <item m="1" x="1431"/>
        <item m="1" x="1372"/>
        <item m="1" x="1670"/>
        <item m="1" x="833"/>
        <item m="1" x="767"/>
        <item m="1" x="1085"/>
        <item m="1" x="907"/>
        <item m="1" x="224"/>
        <item m="1" x="790"/>
        <item m="1" x="66"/>
        <item m="1" x="347"/>
        <item m="1" x="1084"/>
        <item m="1" x="432"/>
        <item m="1" x="338"/>
        <item m="1" x="277"/>
        <item m="1" x="871"/>
        <item m="1" x="921"/>
        <item m="1" x="1483"/>
        <item m="1" x="1471"/>
        <item m="1" x="103"/>
        <item m="1" x="135"/>
        <item m="1" x="30"/>
        <item m="1" x="896"/>
        <item m="1" x="1411"/>
        <item m="1" x="1004"/>
        <item m="1" x="657"/>
        <item m="1" x="402"/>
        <item m="1" x="1133"/>
        <item m="1" x="1184"/>
        <item m="1" x="550"/>
        <item m="1" x="766"/>
        <item m="1" x="1135"/>
        <item m="1" x="567"/>
        <item m="1" x="846"/>
        <item m="1" x="1444"/>
        <item m="1" x="961"/>
        <item m="1" x="765"/>
        <item m="1" x="1158"/>
        <item m="1" x="787"/>
        <item m="1" x="177"/>
        <item m="1" x="1606"/>
        <item m="1" x="719"/>
        <item m="1" x="1200"/>
        <item m="1" x="1138"/>
        <item m="1" x="1746"/>
        <item m="1" x="15"/>
        <item m="1" x="540"/>
        <item m="1" x="306"/>
        <item m="1" x="301"/>
        <item m="1" x="296"/>
        <item m="1" x="733"/>
        <item m="1" x="1274"/>
        <item m="1" x="1268"/>
        <item m="1" x="1586"/>
        <item m="1" x="654"/>
        <item m="1" x="153"/>
        <item m="1" x="822"/>
        <item m="1" x="1282"/>
        <item m="1" x="1374"/>
        <item m="1" x="358"/>
        <item m="1" x="836"/>
        <item m="1" x="827"/>
        <item m="1" x="223"/>
        <item m="1" x="1717"/>
        <item m="1" x="775"/>
        <item m="1" x="190"/>
        <item m="1" x="637"/>
        <item m="1" x="143"/>
        <item m="1" x="749"/>
        <item m="1" x="778"/>
        <item m="1" x="380"/>
        <item m="1" x="1545"/>
        <item m="1" x="246"/>
        <item m="1" x="412"/>
        <item m="1" x="1241"/>
        <item m="1" x="341"/>
        <item m="1" x="1318"/>
        <item m="1" x="323"/>
        <item m="1" x="290"/>
        <item m="1" x="1736"/>
        <item m="1" x="1337"/>
        <item m="1" x="1489"/>
        <item m="1" x="1749"/>
        <item m="1" x="321"/>
        <item m="1" x="1368"/>
        <item m="1" x="1189"/>
        <item m="1" x="1713"/>
        <item m="1" x="546"/>
        <item m="1" x="1295"/>
        <item m="1" x="1422"/>
        <item m="1" x="1502"/>
        <item m="1" x="792"/>
        <item m="1" x="1410"/>
        <item m="1" x="1711"/>
        <item m="1" x="574"/>
        <item m="1" x="1162"/>
        <item m="1" x="986"/>
        <item m="1" x="763"/>
        <item m="1" x="1743"/>
        <item m="1" x="819"/>
        <item m="1" x="825"/>
        <item m="1" x="446"/>
        <item m="1" x="1626"/>
        <item m="1" x="520"/>
        <item m="1" x="1098"/>
        <item m="1" x="1643"/>
        <item m="1" x="101"/>
        <item m="1" x="1536"/>
        <item m="1" x="730"/>
        <item m="1" x="5"/>
        <item m="1" x="245"/>
        <item m="1" x="133"/>
        <item m="1" x="257"/>
        <item m="1" x="509"/>
        <item m="1" x="439"/>
        <item m="1" x="260"/>
        <item m="1" x="127"/>
        <item m="1" x="1324"/>
        <item m="1" x="1121"/>
        <item m="1" x="1159"/>
        <item m="1" x="398"/>
        <item m="1" x="166"/>
        <item m="1" x="531"/>
        <item m="1" x="1020"/>
        <item m="1" x="528"/>
        <item m="1" x="1716"/>
        <item m="1" x="48"/>
        <item m="1" x="1624"/>
        <item m="1" x="1217"/>
        <item m="1" x="1185"/>
        <item m="1" x="265"/>
        <item m="1" x="1331"/>
        <item m="1" x="149"/>
        <item m="1" x="1224"/>
        <item m="1" x="1476"/>
        <item m="1" x="1666"/>
        <item m="1" x="1173"/>
        <item m="1" x="1392"/>
        <item m="1" x="449"/>
        <item m="1" x="1383"/>
        <item m="1" x="1547"/>
        <item m="1" x="232"/>
        <item m="1" x="79"/>
        <item m="1" x="156"/>
        <item m="1" x="1597"/>
        <item m="1" x="1011"/>
        <item m="1" x="1247"/>
        <item m="1" x="43"/>
        <item m="1" x="230"/>
        <item m="1" x="1598"/>
        <item m="1" x="1142"/>
        <item m="1" x="1207"/>
        <item m="1" x="1344"/>
        <item m="1" x="1343"/>
        <item m="1" x="1460"/>
        <item m="1" x="1531"/>
        <item m="1" x="682"/>
        <item m="1" x="454"/>
        <item m="1" x="552"/>
        <item m="1" x="861"/>
        <item m="1" x="405"/>
        <item m="1" x="1401"/>
        <item m="1" x="824"/>
        <item m="1" x="904"/>
        <item m="1" x="738"/>
        <item m="1" x="1060"/>
        <item m="1" x="1451"/>
        <item m="1" x="923"/>
        <item m="1" x="1105"/>
        <item m="1" x="1175"/>
        <item m="1" x="184"/>
        <item m="1" x="579"/>
        <item m="1" x="1156"/>
        <item m="1" x="893"/>
        <item m="1" x="507"/>
        <item m="1" x="979"/>
        <item m="1" x="471"/>
        <item m="1" x="225"/>
        <item m="1" x="1573"/>
        <item m="1" x="625"/>
        <item m="1" x="1464"/>
        <item m="1" x="702"/>
        <item m="1" x="407"/>
        <item m="1" x="603"/>
        <item m="1" x="545"/>
        <item m="1" x="648"/>
        <item m="1" x="126"/>
        <item m="1" x="1150"/>
        <item m="1" x="3"/>
        <item m="1" x="1322"/>
        <item m="1" x="161"/>
        <item m="1" x="1370"/>
        <item m="1" x="1258"/>
        <item m="1" x="1246"/>
        <item m="1" x="1298"/>
        <item m="1" x="731"/>
        <item m="1" x="58"/>
        <item m="1" x="496"/>
        <item m="1" x="974"/>
        <item m="1" x="1292"/>
        <item m="1" x="1263"/>
        <item m="1" x="683"/>
        <item m="1" x="1037"/>
        <item m="1" x="882"/>
        <item m="1" x="42"/>
        <item m="1" x="908"/>
        <item m="1" x="1510"/>
        <item m="1" x="810"/>
        <item m="1" x="145"/>
        <item m="1" x="1622"/>
        <item m="1" x="588"/>
        <item m="1" x="688"/>
        <item m="1" x="211"/>
        <item m="1" x="453"/>
        <item m="1" x="475"/>
        <item m="1" x="1705"/>
        <item m="1" x="661"/>
        <item m="1" x="885"/>
        <item m="1" x="1232"/>
        <item m="1" x="255"/>
        <item m="1" x="1527"/>
        <item m="1" x="276"/>
        <item m="1" x="118"/>
        <item m="1" x="626"/>
        <item m="1" x="922"/>
        <item m="1" x="172"/>
        <item m="1" x="630"/>
        <item m="1" x="736"/>
        <item m="1" x="315"/>
        <item m="1" x="45"/>
        <item m="1" x="1672"/>
        <item m="1" x="960"/>
        <item m="1" x="1577"/>
        <item m="1" x="1480"/>
        <item m="1" x="1362"/>
        <item m="1" x="1025"/>
        <item m="1" x="334"/>
        <item m="1" x="272"/>
        <item m="1" x="859"/>
        <item m="1" x="18"/>
        <item m="1" x="1613"/>
        <item m="1" x="802"/>
        <item m="1" x="1056"/>
        <item m="1" x="1001"/>
        <item m="1" x="1652"/>
        <item m="1" x="1165"/>
        <item m="1" x="1690"/>
        <item m="1" x="880"/>
        <item m="1" x="128"/>
        <item m="1" x="325"/>
        <item m="1" x="635"/>
        <item m="1" x="889"/>
        <item m="1" x="856"/>
        <item m="1" x="821"/>
        <item m="1" x="1319"/>
        <item m="1" x="930"/>
        <item m="1" x="171"/>
        <item m="1" x="1557"/>
        <item m="1" x="557"/>
        <item m="1" x="1283"/>
        <item m="1" x="504"/>
        <item m="1" x="950"/>
        <item m="1" x="1751"/>
        <item m="1" x="498"/>
        <item m="1" x="572"/>
        <item m="1" x="1427"/>
        <item m="1" x="304"/>
        <item m="1" x="1112"/>
        <item m="1" x="1075"/>
        <item m="1" x="1556"/>
        <item m="1" x="198"/>
        <item m="1" x="1687"/>
        <item m="1" x="1215"/>
        <item m="1" x="1335"/>
        <item m="1" x="1388"/>
        <item m="1" x="913"/>
        <item m="1" x="176"/>
        <item m="1" x="975"/>
        <item m="1" x="1070"/>
        <item m="1" x="1119"/>
        <item m="1" x="423"/>
        <item m="1" x="845"/>
        <item m="1" x="175"/>
        <item m="1" x="667"/>
        <item m="1" x="743"/>
        <item m="1" x="430"/>
        <item m="1" x="511"/>
        <item m="1" x="1351"/>
        <item m="1" x="164"/>
        <item m="1" x="293"/>
        <item m="1" x="218"/>
        <item m="1" x="1093"/>
        <item m="1" x="330"/>
        <item m="1" x="124"/>
        <item m="1" x="163"/>
        <item m="1" x="1555"/>
        <item m="1" x="109"/>
        <item m="1" x="888"/>
        <item m="1" x="1387"/>
        <item m="1" x="169"/>
        <item m="1" x="513"/>
        <item m="1" x="711"/>
        <item m="1" x="1321"/>
        <item m="1" x="1568"/>
        <item m="1" x="295"/>
        <item m="1" x="408"/>
        <item m="1" x="604"/>
        <item m="1" x="585"/>
        <item m="1" x="890"/>
        <item m="1" x="422"/>
        <item m="1" x="1034"/>
        <item m="1" x="1310"/>
        <item m="1" x="1376"/>
        <item m="1" x="1234"/>
        <item m="1" x="207"/>
        <item m="1" x="81"/>
        <item m="1" x="1300"/>
        <item m="1" x="93"/>
        <item m="1" x="1596"/>
        <item m="1" x="1191"/>
        <item m="1" x="804"/>
        <item m="1" x="285"/>
        <item m="1" x="1693"/>
        <item m="1" x="1684"/>
        <item m="1" x="1423"/>
        <item m="1" x="36"/>
        <item m="1" x="448"/>
        <item m="1" x="95"/>
        <item m="1" x="383"/>
        <item m="1" x="1074"/>
        <item m="1" x="189"/>
        <item m="1" x="620"/>
        <item m="1" x="1301"/>
        <item m="1" x="798"/>
        <item m="1" x="1022"/>
        <item m="1" x="1170"/>
        <item m="1" x="1745"/>
        <item m="1" x="544"/>
        <item m="1" x="1496"/>
        <item m="1" x="1273"/>
        <item m="1" x="839"/>
        <item m="1" x="1561"/>
        <item m="1" x="1178"/>
        <item m="1" x="472"/>
        <item m="1" x="876"/>
        <item m="1" x="560"/>
        <item m="1" x="312"/>
        <item m="1" x="976"/>
        <item m="1" x="391"/>
        <item m="1" x="855"/>
        <item m="1" x="761"/>
        <item m="1" x="943"/>
        <item m="1" x="1433"/>
        <item m="1" x="1018"/>
        <item m="1" x="485"/>
        <item m="1" x="1029"/>
        <item m="1" x="1579"/>
        <item m="1" x="868"/>
        <item m="1" x="183"/>
        <item m="1" x="354"/>
        <item m="1" x="1727"/>
        <item m="1" x="519"/>
        <item m="1" x="385"/>
        <item m="1" x="212"/>
        <item m="1" x="525"/>
        <item m="1" x="158"/>
        <item m="1" x="1699"/>
        <item m="1" x="569"/>
        <item m="1" x="1721"/>
        <item m="1" x="750"/>
        <item m="1" x="491"/>
        <item m="1" x="931"/>
        <item m="1" x="1235"/>
        <item m="1" x="88"/>
        <item m="1" x="278"/>
        <item m="1" x="910"/>
        <item m="1" x="1404"/>
        <item m="1" x="748"/>
        <item m="1" x="1583"/>
        <item m="1" x="1737"/>
        <item m="1" x="160"/>
        <item m="1" x="543"/>
        <item m="1" x="1754"/>
        <item m="1" x="1172"/>
        <item m="1" x="470"/>
        <item m="1" x="68"/>
        <item m="1" x="1704"/>
        <item m="1" x="639"/>
        <item m="1" x="523"/>
        <item m="1" x="436"/>
        <item m="1" x="141"/>
        <item m="1" x="1385"/>
        <item m="1" x="129"/>
        <item m="1" x="1151"/>
        <item m="1" x="660"/>
        <item m="1" x="483"/>
        <item m="1" x="793"/>
        <item m="1" x="815"/>
        <item m="1" x="659"/>
        <item m="1" x="1732"/>
        <item m="1" x="1154"/>
        <item m="1" x="259"/>
        <item m="1" x="473"/>
        <item m="1" x="503"/>
        <item m="1" x="1059"/>
        <item m="1" x="1166"/>
        <item m="1" x="443"/>
        <item m="1" x="571"/>
        <item m="1" x="361"/>
        <item m="1" x="1584"/>
        <item m="1" x="1660"/>
        <item m="1" x="213"/>
        <item m="1" x="1127"/>
        <item m="1" x="1259"/>
        <item m="1" x="418"/>
        <item m="1" x="1681"/>
        <item m="1" x="1057"/>
        <item m="1" x="1461"/>
        <item m="1" x="1618"/>
        <item m="1" x="406"/>
        <item m="1" x="985"/>
        <item m="1" x="10"/>
        <item m="1" x="388"/>
        <item m="1" x="349"/>
        <item m="1" x="1468"/>
        <item m="1" x="776"/>
        <item m="1" x="1303"/>
        <item m="1" x="417"/>
        <item m="1" x="1354"/>
        <item m="1" x="883"/>
        <item m="1" x="226"/>
        <item m="1" x="188"/>
        <item m="1" x="409"/>
        <item m="1" x="1635"/>
        <item m="1" x="1161"/>
        <item m="1" x="1101"/>
        <item m="1" x="64"/>
        <item m="1" x="39"/>
        <item m="1" x="8"/>
        <item m="1" x="1256"/>
        <item m="1" x="1000"/>
        <item m="1" x="857"/>
        <item m="1" x="877"/>
        <item m="1" x="117"/>
        <item m="1" x="1576"/>
        <item m="1" x="1007"/>
        <item m="1" x="817"/>
        <item m="1" x="1242"/>
        <item m="1" x="1413"/>
        <item m="1" x="1570"/>
        <item m="1" x="598"/>
        <item m="1" x="1467"/>
        <item m="1" x="1375"/>
        <item m="1" x="686"/>
        <item m="1" x="947"/>
        <item m="1" x="155"/>
        <item m="1" x="24"/>
        <item m="1" x="1405"/>
        <item m="1" x="1610"/>
        <item m="1" x="1668"/>
        <item m="1" x="1110"/>
        <item m="1" x="146"/>
        <item m="1" x="590"/>
        <item m="1" x="328"/>
        <item m="1" x="662"/>
        <item m="1" x="1608"/>
        <item m="1" x="1661"/>
        <item m="1" x="355"/>
        <item m="1" x="1466"/>
        <item m="1" x="400"/>
        <item m="1" x="1227"/>
        <item m="1" x="764"/>
        <item m="1" x="1378"/>
        <item m="1" x="178"/>
        <item m="1" x="935"/>
        <item m="1" x="99"/>
        <item m="1" x="1312"/>
        <item m="1" x="331"/>
        <item m="1" x="237"/>
        <item m="1" x="346"/>
        <item m="1" x="541"/>
        <item m="1" x="1226"/>
        <item m="1" x="505"/>
        <item m="1" x="1634"/>
        <item m="1" x="631"/>
        <item m="1" x="726"/>
        <item m="1" x="1327"/>
        <item m="1" x="7"/>
        <item m="1" x="1398"/>
        <item m="1" x="353"/>
        <item m="1" x="847"/>
        <item m="1" x="419"/>
        <item m="1" x="1107"/>
        <item m="1" x="811"/>
        <item m="1" x="1710"/>
        <item m="1" x="526"/>
        <item m="1" x="879"/>
        <item m="1" x="773"/>
        <item m="1" x="732"/>
        <item m="1" x="123"/>
        <item m="1" x="254"/>
        <item m="1" x="371"/>
        <item m="1" x="539"/>
        <item m="1" x="744"/>
        <item m="1" x="818"/>
        <item m="1" x="83"/>
        <item m="1" x="1216"/>
        <item m="1" x="1662"/>
        <item m="1" x="1113"/>
        <item m="1" x="57"/>
        <item m="1" x="1361"/>
        <item m="1" x="640"/>
        <item m="1" x="1553"/>
        <item m="1" x="238"/>
        <item m="1" x="33"/>
        <item m="1" x="94"/>
        <item m="1" x="1465"/>
        <item m="1" x="1504"/>
        <item m="1" x="267"/>
        <item m="1" x="866"/>
        <item m="1" x="1002"/>
        <item m="1" x="642"/>
        <item m="1" x="1177"/>
        <item m="1" x="600"/>
        <item m="1" x="515"/>
        <item m="1" x="1129"/>
        <item m="1" x="1061"/>
        <item m="1" x="266"/>
        <item m="1" x="1208"/>
        <item m="1" x="691"/>
        <item m="1" x="337"/>
        <item m="1" x="1251"/>
        <item m="1" x="988"/>
        <item m="1" x="1038"/>
        <item m="1" x="618"/>
        <item m="1" x="1079"/>
        <item m="1" x="701"/>
        <item m="1" x="249"/>
        <item m="1" x="1426"/>
        <item m="1" x="918"/>
        <item m="1" x="318"/>
        <item m="1" x="397"/>
        <item m="1" x="1694"/>
        <item m="1" x="1612"/>
        <item m="1" x="901"/>
        <item m="1" x="1143"/>
        <item m="1" x="782"/>
        <item m="1" x="591"/>
        <item m="1" x="911"/>
        <item m="1" x="1049"/>
        <item m="1" x="909"/>
        <item m="1" x="279"/>
        <item m="1" x="1509"/>
        <item m="1" x="611"/>
        <item m="1" x="1083"/>
        <item m="1" x="98"/>
        <item m="1" x="1329"/>
        <item m="1" x="1255"/>
        <item m="1" x="502"/>
        <item m="1" x="722"/>
        <item m="1" x="292"/>
        <item m="1" x="1309"/>
        <item m="1" x="1334"/>
        <item m="1" x="299"/>
        <item m="1" x="865"/>
        <item m="1" x="220"/>
        <item m="1" x="1477"/>
        <item m="1" x="476"/>
        <item m="1" x="1317"/>
        <item m="1" x="116"/>
        <item m="1" x="6"/>
        <item m="1" x="1014"/>
        <item m="1" x="89"/>
        <item m="1" x="610"/>
        <item m="1" x="1053"/>
        <item m="1" x="1528"/>
        <item m="1" x="840"/>
        <item m="1" x="1293"/>
        <item m="1" x="812"/>
        <item m="1" x="1097"/>
        <item m="1" x="512"/>
        <item m="1" x="1314"/>
        <item m="1" x="1311"/>
        <item m="1" x="319"/>
        <item m="1" x="360"/>
        <item m="1" x="120"/>
        <item m="1" x="894"/>
        <item m="1" x="415"/>
        <item m="1" x="1033"/>
        <item m="1" x="1421"/>
        <item m="1" x="549"/>
        <item m="1" x="1493"/>
        <item m="1" x="1197"/>
        <item m="1" x="1304"/>
        <item m="1" x="332"/>
        <item m="1" x="495"/>
        <item m="1" x="1271"/>
        <item m="1" x="945"/>
        <item m="1" x="1571"/>
        <item m="1" x="1023"/>
        <item m="1" x="1219"/>
        <item m="1" x="1326"/>
        <item m="1" x="357"/>
        <item m="1" x="1442"/>
        <item m="1" x="1730"/>
        <item m="1" x="771"/>
        <item m="1" x="1424"/>
        <item m="1" x="134"/>
        <item m="1" x="1625"/>
        <item m="1" x="884"/>
        <item m="1" x="234"/>
        <item m="1" x="1511"/>
        <item m="1" x="649"/>
        <item m="1" x="336"/>
        <item m="1" x="1530"/>
        <item m="1" x="343"/>
        <item m="1" x="1106"/>
        <item m="1" x="1645"/>
        <item m="1" x="920"/>
        <item m="1" x="1472"/>
        <item m="1" x="181"/>
        <item m="1" x="1501"/>
        <item m="1" x="194"/>
        <item m="1" x="56"/>
        <item m="1" x="916"/>
        <item m="1" x="1592"/>
        <item m="1" x="97"/>
        <item m="1" x="1632"/>
        <item m="1" x="339"/>
        <item m="1" x="1554"/>
        <item m="1" x="981"/>
        <item m="1" x="1702"/>
        <item m="1" x="854"/>
        <item m="1" x="1709"/>
        <item m="1" x="970"/>
        <item m="1" x="714"/>
        <item m="1" x="1384"/>
        <item m="1" x="1655"/>
        <item m="1" x="132"/>
        <item m="1" x="965"/>
        <item m="1" x="258"/>
        <item m="1" x="1744"/>
        <item m="1" x="1633"/>
        <item m="1" x="1589"/>
        <item m="1" x="1397"/>
        <item m="1" x="1653"/>
        <item m="1" x="1601"/>
        <item m="1" x="437"/>
        <item m="1" x="1475"/>
        <item m="1" x="222"/>
        <item m="1" x="1145"/>
        <item m="1" x="924"/>
        <item m="1" x="1558"/>
        <item m="1" x="627"/>
        <item m="1" x="1682"/>
        <item m="1" x="769"/>
        <item m="1" x="1183"/>
        <item m="1" x="17"/>
        <item m="1" x="63"/>
        <item m="1" x="1147"/>
        <item m="1" x="699"/>
        <item m="1" x="351"/>
        <item m="1" x="1396"/>
        <item m="1" x="1160"/>
        <item m="1" x="78"/>
        <item m="1" x="1535"/>
        <item m="1" x="196"/>
        <item m="1" x="1211"/>
        <item m="1" x="1441"/>
        <item m="1" x="994"/>
        <item m="1" x="843"/>
        <item m="1" x="364"/>
        <item m="1" x="9"/>
        <item m="1" x="1432"/>
        <item m="1" x="32"/>
        <item m="1" x="1637"/>
        <item m="1" x="629"/>
        <item m="1" x="389"/>
        <item m="1" x="780"/>
        <item m="1" x="1290"/>
        <item m="1" x="469"/>
        <item m="1" x="159"/>
        <item m="1" x="144"/>
        <item m="1" x="1072"/>
        <item m="1" x="615"/>
        <item m="1" x="687"/>
        <item m="1" x="830"/>
        <item m="1" x="501"/>
        <item m="1" x="1051"/>
        <item m="1" x="108"/>
        <item m="1" x="510"/>
        <item m="1" x="1741"/>
        <item m="1" x="653"/>
        <item m="1" x="195"/>
        <item m="1" x="809"/>
        <item m="1" x="1688"/>
        <item m="1" x="1515"/>
        <item m="1" x="1341"/>
        <item m="1" x="1088"/>
        <item m="1" x="356"/>
        <item m="1" x="1753"/>
        <item m="1" x="314"/>
        <item m="1" x="154"/>
        <item m="1" x="898"/>
        <item m="1" x="900"/>
        <item m="1" x="1131"/>
        <item m="1" x="584"/>
        <item m="1" x="464"/>
        <item m="1" x="1024"/>
        <item m="1" x="1278"/>
        <item m="1" x="1498"/>
        <item m="1" x="441"/>
        <item m="1" x="1013"/>
        <item m="1" x="673"/>
        <item m="1" x="532"/>
        <item m="1" x="138"/>
        <item m="1" x="1575"/>
        <item m="1" x="1428"/>
        <item m="1" x="895"/>
        <item m="1" x="1128"/>
        <item m="1" x="1420"/>
        <item m="1" x="853"/>
        <item m="1" x="1315"/>
        <item m="1" x="783"/>
        <item m="1" x="219"/>
        <item m="1" x="580"/>
        <item m="1" x="1611"/>
        <item m="1" x="1347"/>
        <item m="1" x="592"/>
        <item m="1" x="281"/>
        <item m="1" x="1218"/>
        <item m="1" x="692"/>
        <item m="1" x="612"/>
        <item m="1" x="912"/>
        <item m="1" x="100"/>
        <item m="1" x="617"/>
        <item m="1" x="205"/>
        <item m="1" x="37"/>
        <item m="1" x="1005"/>
        <item m="1" x="80"/>
        <item m="1" x="704"/>
        <item m="1" x="468"/>
        <item m="1" x="1132"/>
        <item m="1" x="1629"/>
        <item m="1" x="313"/>
        <item m="1" x="848"/>
        <item m="1" x="1382"/>
        <item m="1" x="85"/>
        <item m="1" x="431"/>
        <item m="1" x="796"/>
        <item m="1" x="474"/>
        <item m="1" x="486"/>
        <item m="1" x="38"/>
        <item m="1" x="1703"/>
        <item m="1" x="1541"/>
        <item m="1" x="1348"/>
        <item m="1" x="1518"/>
        <item m="1" x="621"/>
        <item m="1" x="951"/>
        <item m="1" x="1188"/>
        <item m="1" x="870"/>
        <item m="1" x="1141"/>
        <item m="1" x="499"/>
        <item m="1" x="284"/>
        <item m="1" x="1590"/>
        <item m="1" x="393"/>
        <item m="1" x="264"/>
        <item m="1" x="677"/>
        <item m="1" x="1296"/>
        <item m="1" x="1740"/>
        <item m="1" x="333"/>
        <item m="1" x="1193"/>
        <item m="1" x="1540"/>
        <item m="1" x="547"/>
        <item m="1" x="54"/>
        <item m="1" x="972"/>
        <item m="1" x="995"/>
        <item m="1" x="1067"/>
        <item m="1" x="1459"/>
        <item m="1" x="614"/>
        <item m="1" x="1359"/>
        <item m="1" x="1006"/>
        <item m="1" x="906"/>
        <item m="1" x="538"/>
        <item m="1" x="670"/>
        <item m="1" x="1417"/>
        <item m="1" x="593"/>
        <item m="1" x="582"/>
        <item m="1" x="700"/>
        <item m="1" x="202"/>
        <item m="1" x="1240"/>
        <item m="1" x="1750"/>
        <item m="1" x="1587"/>
        <item m="1" x="1548"/>
        <item m="1" x="1647"/>
        <item m="1" x="148"/>
        <item m="1" x="456"/>
        <item m="1" x="997"/>
        <item m="1" x="1270"/>
        <item m="1" x="1157"/>
        <item m="1" x="566"/>
        <item m="1" x="849"/>
        <item m="1" x="1566"/>
        <item m="1" x="564"/>
        <item m="1" x="1289"/>
        <item m="1" x="1731"/>
        <item m="1" x="586"/>
        <item m="1" x="1125"/>
        <item m="1" x="269"/>
        <item m="1" x="820"/>
        <item m="1" x="16"/>
        <item m="1" x="1192"/>
        <item m="1" x="1275"/>
        <item m="1" x="602"/>
        <item m="1" x="31"/>
        <item m="1" x="497"/>
        <item m="1" x="506"/>
        <item m="1" x="1733"/>
        <item m="1" x="881"/>
        <item m="1" x="111"/>
        <item m="1" x="1543"/>
        <item m="1" x="414"/>
        <item m="1" x="1651"/>
        <item m="1" x="537"/>
        <item m="1" x="1082"/>
        <item m="1" x="1532"/>
        <item m="1" x="1199"/>
        <item m="1" x="494"/>
        <item m="1" x="329"/>
        <item m="1" x="1120"/>
        <item m="1" x="14"/>
        <item m="1" x="887"/>
        <item m="1" x="1039"/>
        <item m="1" x="527"/>
        <item m="1" x="451"/>
        <item m="1" x="1490"/>
        <item m="1" x="1100"/>
        <item m="1" x="1123"/>
        <item m="1" x="1720"/>
        <item m="1" x="1071"/>
        <item m="1" x="416"/>
        <item m="1" x="1445"/>
        <item m="1" x="777"/>
        <item m="1" x="1209"/>
        <item m="1" x="558"/>
        <item m="1" x="1010"/>
        <item m="1" x="781"/>
        <item m="1" x="1533"/>
        <item m="1" x="581"/>
        <item m="1" x="1233"/>
        <item m="1" x="841"/>
        <item m="1" x="1068"/>
        <item m="1" x="1677"/>
        <item m="1" x="522"/>
        <item m="1" x="372"/>
        <item m="1" x="1567"/>
        <item m="1" x="170"/>
        <item m="1" x="1463"/>
        <item m="1" x="1080"/>
        <item m="1" x="1035"/>
        <item m="1" x="779"/>
        <item m="1" x="741"/>
        <item m="1" x="955"/>
        <item m="1" x="214"/>
        <item m="1" x="1640"/>
        <item m="1" x="1594"/>
        <item m="1" x="1117"/>
        <item m="1" x="524"/>
        <item m="1" x="401"/>
        <item m="1" x="55"/>
        <item m="1" x="352"/>
        <item m="1" x="1581"/>
        <item m="1" x="851"/>
        <item m="1" x="1148"/>
        <item m="1" x="864"/>
        <item m="1" x="140"/>
        <item m="1" x="1623"/>
        <item m="1" x="1551"/>
        <item m="1" x="1674"/>
        <item m="1" x="1250"/>
        <item m="1" x="182"/>
        <item m="1" x="317"/>
        <item m="1" x="420"/>
        <item m="1" x="751"/>
        <item m="1" x="1542"/>
        <item m="1" x="957"/>
        <item m="1" x="899"/>
        <item m="1" x="413"/>
        <item m="1" x="1202"/>
        <item m="1" x="1262"/>
        <item m="1" x="1582"/>
        <item m="1" x="1481"/>
        <item m="1" x="967"/>
        <item m="1" x="1492"/>
        <item m="1" x="1260"/>
        <item m="1" x="1724"/>
        <item m="1" x="84"/>
        <item m="1" x="1448"/>
        <item m="1" x="1604"/>
        <item m="1" x="253"/>
        <item m="1" x="755"/>
        <item m="1" x="344"/>
        <item m="1" x="1265"/>
        <item m="1" x="656"/>
        <item m="1" x="956"/>
        <item m="1" x="208"/>
        <item m="1" x="862"/>
        <item m="1" x="1163"/>
        <item m="1" x="1144"/>
        <item m="1" x="902"/>
        <item m="1" x="844"/>
        <item m="1" x="655"/>
        <item m="1" x="1248"/>
        <item m="1" x="728"/>
        <item m="1" x="1725"/>
        <item m="1" x="1205"/>
        <item m="1" x="1196"/>
        <item m="1" x="936"/>
        <item m="1" x="1664"/>
        <item m="1" x="832"/>
        <item m="1" x="19"/>
        <item m="1" x="928"/>
        <item m="1" x="110"/>
        <item m="1" x="1048"/>
        <item m="1" x="1669"/>
        <item m="1" x="689"/>
        <item m="1" x="69"/>
        <item m="1" x="801"/>
        <item m="1" x="1644"/>
        <item m="1" x="1181"/>
        <item m="1" x="1102"/>
        <item m="1" x="1513"/>
        <item m="1" x="805"/>
        <item m="1" x="1136"/>
        <item m="1" x="1379"/>
        <item m="1" x="1425"/>
        <item m="1" x="619"/>
        <item m="1" x="658"/>
        <item m="1" x="1671"/>
        <item m="1" x="1081"/>
        <item m="1" x="1364"/>
        <item m="1" x="1328"/>
        <item m="1" x="1706"/>
        <item m="1" x="1174"/>
        <item m="1" x="1500"/>
        <item m="1" x="1026"/>
        <item m="1" x="813"/>
        <item m="1" x="21"/>
        <item m="1" x="1231"/>
        <item m="1" x="954"/>
        <item m="1" x="1646"/>
        <item m="1" x="1277"/>
        <item m="1" x="757"/>
        <item m="1" x="76"/>
        <item m="1" x="1680"/>
        <item m="1" x="1339"/>
        <item m="1" x="905"/>
        <item m="1" x="759"/>
        <item m="1" x="1104"/>
        <item m="1" x="739"/>
        <item m="1" x="942"/>
        <item m="1" x="1195"/>
        <item m="1" x="1453"/>
        <item m="1" x="1338"/>
        <item m="1" x="1406"/>
        <item m="1" x="690"/>
        <item m="1" x="1204"/>
        <item m="1" x="403"/>
        <item m="1" x="734"/>
        <item m="1" x="1614"/>
        <item m="1" x="622"/>
        <item m="1" x="1715"/>
        <item m="1" x="481"/>
        <item m="1" x="1679"/>
        <item m="1" x="1149"/>
        <item m="1" x="1529"/>
        <item m="1" x="1678"/>
        <item m="1" x="1050"/>
        <item m="1" x="1045"/>
        <item m="1" x="455"/>
        <item m="1" x="322"/>
        <item m="1" x="1044"/>
        <item m="1" x="721"/>
        <item m="1" x="1078"/>
        <item m="1" x="1628"/>
        <item m="1" x="1473"/>
        <item m="1" x="268"/>
        <item m="1" x="185"/>
        <item m="1" x="390"/>
        <item m="1" x="959"/>
        <item m="1" x="1042"/>
        <item m="1" x="829"/>
        <item m="1" x="445"/>
        <item m="1" x="104"/>
        <item m="1" x="1336"/>
        <item m="1" x="964"/>
        <item m="1" x="1569"/>
        <item m="1" x="1470"/>
        <item m="1" x="1494"/>
        <item m="1" x="465"/>
        <item m="1" x="1115"/>
        <item m="1" x="1291"/>
        <item m="1" x="340"/>
        <item m="1" x="1691"/>
        <item m="1" x="1639"/>
        <item m="1" x="1615"/>
        <item m="1" x="650"/>
        <item m="1" x="1735"/>
        <item m="1" x="1446"/>
        <item m="1" x="977"/>
        <item m="1" x="556"/>
        <item m="1" x="1394"/>
        <item m="1" x="1137"/>
        <item m="1" x="1349"/>
        <item m="1" x="1563"/>
        <item m="1" x="1111"/>
        <item m="1" x="1357"/>
        <item m="1" x="795"/>
        <item m="1" x="440"/>
        <item m="1" x="1245"/>
        <item m="1" x="11"/>
        <item m="1" x="628"/>
        <item m="1" x="157"/>
        <item m="1" x="1308"/>
        <item m="1" x="707"/>
        <item m="1" x="200"/>
        <item m="1" x="345"/>
        <item m="1" x="50"/>
        <item m="1" x="1683"/>
        <item m="1" x="379"/>
        <item m="1" x="1186"/>
        <item m="1" x="96"/>
        <item m="1" x="633"/>
        <item m="1" x="791"/>
        <item m="1" x="508"/>
        <item m="1" x="1707"/>
        <item m="1" x="434"/>
        <item m="1" x="1537"/>
        <item m="1" x="2"/>
        <item m="1" x="578"/>
        <item m="1" x="228"/>
        <item m="1" x="1439"/>
        <item m="1" x="1659"/>
        <item m="1" x="932"/>
        <item m="1" x="1620"/>
        <item m="1" x="1221"/>
        <item m="1" x="86"/>
        <item m="1" x="12"/>
        <item m="1" x="1092"/>
        <item m="1" x="927"/>
        <item m="1" x="516"/>
        <item m="1" x="1153"/>
        <item m="1" x="381"/>
        <item m="1" x="493"/>
        <item m="1" x="1488"/>
        <item m="1" x="34"/>
        <item m="1" x="1288"/>
        <item x="0"/>
        <item x="1"/>
        <item t="default"/>
      </items>
    </pivotField>
    <pivotField compact="0" outline="0" showAll="0"/>
    <pivotField compact="0" outline="0" showAll="0"/>
    <pivotField compact="0" outline="0" showAll="0"/>
    <pivotField compact="0" outline="0" showAll="0"/>
    <pivotField axis="axisRow" compact="0" outline="0" showAll="0" defaultSubtotal="0">
      <items count="1759">
        <item m="1" x="23"/>
        <item m="1" x="222"/>
        <item m="1" x="1025"/>
        <item m="1" x="596"/>
        <item m="1" x="581"/>
        <item m="1" x="1644"/>
        <item m="1" x="633"/>
        <item m="1" x="81"/>
        <item m="1" x="959"/>
        <item m="1" x="1146"/>
        <item m="1" x="1528"/>
        <item m="1" x="347"/>
        <item m="1" x="229"/>
        <item m="1" x="1163"/>
        <item m="1" x="318"/>
        <item m="1" x="1450"/>
        <item m="1" x="800"/>
        <item m="1" x="63"/>
        <item m="1" x="1461"/>
        <item m="1" x="1658"/>
        <item m="1" x="453"/>
        <item m="1" x="1703"/>
        <item m="1" x="1516"/>
        <item m="1" x="1262"/>
        <item m="1" x="1435"/>
        <item m="1" x="491"/>
        <item m="1" x="608"/>
        <item m="1" x="790"/>
        <item m="1" x="1527"/>
        <item m="1" x="270"/>
        <item m="1" x="1691"/>
        <item m="1" x="1250"/>
        <item m="1" x="7"/>
        <item m="1" x="1298"/>
        <item m="1" x="202"/>
        <item m="1" x="488"/>
        <item m="1" x="237"/>
        <item m="1" x="1447"/>
        <item m="1" x="830"/>
        <item m="1" x="121"/>
        <item m="1" x="962"/>
        <item m="1" x="1293"/>
        <item m="1" x="66"/>
        <item m="1" x="41"/>
        <item m="1" x="398"/>
        <item m="1" x="1740"/>
        <item m="1" x="252"/>
        <item m="1" x="936"/>
        <item m="1" x="462"/>
        <item m="1" x="1421"/>
        <item m="1" x="1044"/>
        <item m="1" x="197"/>
        <item m="1" x="1728"/>
        <item m="1" x="1434"/>
        <item m="1" x="1211"/>
        <item m="1" x="1495"/>
        <item m="1" x="1641"/>
        <item m="1" x="1621"/>
        <item m="1" x="187"/>
        <item m="1" x="1428"/>
        <item m="1" x="723"/>
        <item m="1" x="646"/>
        <item m="1" x="85"/>
        <item m="1" x="957"/>
        <item m="1" x="279"/>
        <item m="1" x="238"/>
        <item m="1" x="908"/>
        <item m="1" x="912"/>
        <item m="1" x="854"/>
        <item m="1" x="1315"/>
        <item m="1" x="1746"/>
        <item m="1" x="193"/>
        <item m="1" x="1402"/>
        <item m="1" x="383"/>
        <item m="1" x="561"/>
        <item m="1" x="281"/>
        <item m="1" x="999"/>
        <item m="1" x="1176"/>
        <item m="1" x="1006"/>
        <item m="1" x="1081"/>
        <item m="1" x="609"/>
        <item m="1" x="982"/>
        <item m="1" x="542"/>
        <item m="1" x="564"/>
        <item m="1" x="1337"/>
        <item m="1" x="1222"/>
        <item m="1" x="1071"/>
        <item m="1" x="1139"/>
        <item m="1" x="248"/>
        <item m="1" x="282"/>
        <item m="1" x="904"/>
        <item m="1" x="427"/>
        <item m="1" x="1305"/>
        <item m="1" x="661"/>
        <item m="1" x="922"/>
        <item m="1" x="832"/>
        <item m="1" x="166"/>
        <item m="1" x="1633"/>
        <item m="1" x="765"/>
        <item m="1" x="374"/>
        <item m="1" x="935"/>
        <item m="1" x="1132"/>
        <item m="1" x="888"/>
        <item m="1" x="1683"/>
        <item m="1" x="416"/>
        <item m="1" x="978"/>
        <item m="1" x="1445"/>
        <item m="1" x="1268"/>
        <item m="1" x="452"/>
        <item m="1" x="782"/>
        <item m="1" x="356"/>
        <item m="1" x="101"/>
        <item m="1" x="588"/>
        <item m="1" x="1134"/>
        <item m="1" x="677"/>
        <item m="1" x="1534"/>
        <item m="1" x="1483"/>
        <item m="1" x="1667"/>
        <item m="1" x="1518"/>
        <item m="1" x="1270"/>
        <item m="1" x="802"/>
        <item m="1" x="207"/>
        <item m="1" x="1249"/>
        <item m="1" x="1291"/>
        <item m="1" x="669"/>
        <item m="1" x="212"/>
        <item m="1" x="578"/>
        <item m="1" x="189"/>
        <item m="1" x="386"/>
        <item m="1" x="1530"/>
        <item m="1" x="793"/>
        <item m="1" x="635"/>
        <item m="1" x="733"/>
        <item m="1" x="697"/>
        <item m="1" x="435"/>
        <item m="1" x="260"/>
        <item m="1" x="251"/>
        <item m="1" x="1426"/>
        <item m="1" x="1181"/>
        <item m="1" x="1061"/>
        <item m="1" x="934"/>
        <item m="1" x="373"/>
        <item m="1" x="180"/>
        <item m="1" x="1400"/>
        <item m="1" x="921"/>
        <item m="1" x="645"/>
        <item m="1" x="1474"/>
        <item m="1" x="939"/>
        <item m="1" x="353"/>
        <item m="1" x="1710"/>
        <item m="1" x="869"/>
        <item m="1" x="1206"/>
        <item m="1" x="1680"/>
        <item m="1" x="1374"/>
        <item m="1" x="1301"/>
        <item m="1" x="1209"/>
        <item m="1" x="656"/>
        <item m="1" x="380"/>
        <item m="1" x="1313"/>
        <item m="1" x="11"/>
        <item m="1" x="58"/>
        <item m="1" x="1340"/>
        <item m="1" x="1019"/>
        <item m="1" x="57"/>
        <item m="1" x="862"/>
        <item m="1" x="1399"/>
        <item m="1" x="89"/>
        <item m="1" x="779"/>
        <item m="1" x="614"/>
        <item m="1" x="605"/>
        <item m="1" x="221"/>
        <item m="1" x="1174"/>
        <item m="1" x="554"/>
        <item m="1" x="807"/>
        <item m="1" x="1309"/>
        <item m="1" x="816"/>
        <item m="1" x="1210"/>
        <item m="1" x="1753"/>
        <item m="1" x="1281"/>
        <item m="1" x="764"/>
        <item m="1" x="1398"/>
        <item m="1" x="615"/>
        <item m="1" x="277"/>
        <item m="1" x="529"/>
        <item m="1" x="858"/>
        <item m="1" x="1219"/>
        <item m="1" x="1613"/>
        <item m="1" x="1511"/>
        <item m="1" x="1296"/>
        <item m="1" x="109"/>
        <item m="1" x="953"/>
        <item m="1" x="377"/>
        <item m="1" x="544"/>
        <item m="1" x="407"/>
        <item m="1" x="1462"/>
        <item m="1" x="239"/>
        <item m="1" x="1108"/>
        <item m="1" x="848"/>
        <item m="1" x="1239"/>
        <item m="1" x="1622"/>
        <item m="1" x="368"/>
        <item m="1" x="468"/>
        <item m="1" x="1155"/>
        <item m="1" x="1080"/>
        <item m="1" x="269"/>
        <item m="1" x="1390"/>
        <item m="1" x="263"/>
        <item m="1" x="1072"/>
        <item m="1" x="1261"/>
        <item m="1" x="320"/>
        <item m="1" x="1338"/>
        <item m="1" x="421"/>
        <item m="1" x="16"/>
        <item m="1" x="76"/>
        <item m="1" x="964"/>
        <item m="1" x="877"/>
        <item m="1" x="1731"/>
        <item m="1" x="598"/>
        <item m="1" x="15"/>
        <item m="1" x="1413"/>
        <item m="1" x="812"/>
        <item m="1" x="216"/>
        <item m="1" x="454"/>
        <item m="1" x="1128"/>
        <item m="1" x="1679"/>
        <item m="1" x="730"/>
        <item m="1" x="965"/>
        <item m="1" x="1086"/>
        <item m="1" x="748"/>
        <item m="1" x="128"/>
        <item m="1" x="1278"/>
        <item m="1" x="1723"/>
        <item m="1" x="753"/>
        <item m="1" x="994"/>
        <item m="1" x="1726"/>
        <item m="1" x="1565"/>
        <item m="1" x="1322"/>
        <item m="1" x="874"/>
        <item m="1" x="535"/>
        <item m="1" x="215"/>
        <item m="1" x="333"/>
        <item m="1" x="930"/>
        <item m="1" x="685"/>
        <item m="1" x="111"/>
        <item m="1" x="1173"/>
        <item m="1" x="815"/>
        <item m="1" x="746"/>
        <item m="1" x="17"/>
        <item m="1" x="553"/>
        <item m="1" x="1023"/>
        <item m="1" x="756"/>
        <item m="1" x="925"/>
        <item m="1" x="264"/>
        <item m="1" x="1479"/>
        <item m="1" x="1067"/>
        <item m="1" x="77"/>
        <item m="1" x="1119"/>
        <item m="1" x="225"/>
        <item m="1" x="515"/>
        <item m="1" x="824"/>
        <item m="1" x="579"/>
        <item m="1" x="637"/>
        <item m="1" x="83"/>
        <item m="1" x="457"/>
        <item m="1" x="917"/>
        <item m="1" x="979"/>
        <item m="1" x="28"/>
        <item m="1" x="1497"/>
        <item m="1" x="494"/>
        <item m="1" x="906"/>
        <item m="1" x="576"/>
        <item m="1" x="1020"/>
        <item m="1" x="69"/>
        <item m="1" x="1480"/>
        <item m="1" x="1446"/>
        <item m="1" x="672"/>
        <item m="1" x="392"/>
        <item m="1" x="414"/>
        <item m="1" x="750"/>
        <item m="1" x="673"/>
        <item m="1" x="1112"/>
        <item m="1" x="33"/>
        <item m="1" x="186"/>
        <item m="1" x="1065"/>
        <item m="1" x="768"/>
        <item m="1" x="1549"/>
        <item m="1" x="1275"/>
        <item m="1" x="1190"/>
        <item m="1" x="442"/>
        <item m="1" x="648"/>
        <item m="1" x="811"/>
        <item m="1" x="1331"/>
        <item m="1" x="589"/>
        <item m="1" x="236"/>
        <item m="1" x="1324"/>
        <item m="1" x="1515"/>
        <item m="1" x="112"/>
        <item m="1" x="1406"/>
        <item m="1" x="1470"/>
        <item m="1" x="577"/>
        <item m="1" x="1050"/>
        <item m="1" x="1203"/>
        <item m="1" x="850"/>
        <item m="1" x="1554"/>
        <item m="1" x="1451"/>
        <item m="1" x="809"/>
        <item m="1" x="1107"/>
        <item m="1" x="1547"/>
        <item m="1" x="1274"/>
        <item m="1" x="1388"/>
        <item m="1" x="1075"/>
        <item m="1" x="668"/>
        <item m="1" x="1024"/>
        <item m="1" x="1756"/>
        <item m="1" x="1539"/>
        <item m="1" x="1310"/>
        <item m="1" x="829"/>
        <item m="1" x="1755"/>
        <item m="1" x="1686"/>
        <item m="1" x="288"/>
        <item m="1" x="144"/>
        <item m="1" x="1306"/>
        <item m="1" x="1476"/>
        <item m="1" x="428"/>
        <item m="1" x="1503"/>
        <item m="1" x="306"/>
        <item m="1" x="1536"/>
        <item m="1" x="1357"/>
        <item m="1" x="378"/>
        <item m="1" x="916"/>
        <item m="1" x="256"/>
        <item m="1" x="1712"/>
        <item m="1" x="1562"/>
        <item m="1" x="1010"/>
        <item m="1" x="1650"/>
        <item m="1" x="52"/>
        <item m="1" x="1693"/>
        <item m="1" x="479"/>
        <item m="1" x="606"/>
        <item m="1" x="1632"/>
        <item m="1" x="1223"/>
        <item m="1" x="1540"/>
        <item m="1" x="291"/>
        <item m="1" x="346"/>
        <item m="1" x="1004"/>
        <item m="1" x="1452"/>
        <item m="1" x="839"/>
        <item m="1" x="214"/>
        <item m="1" x="1386"/>
        <item m="1" x="1022"/>
        <item m="1" x="1062"/>
        <item m="1" x="1704"/>
        <item m="1" x="384"/>
        <item m="1" x="25"/>
        <item m="1" x="86"/>
        <item m="1" x="1101"/>
        <item m="1" x="1242"/>
        <item m="1" x="1280"/>
        <item m="1" x="1317"/>
        <item m="1" x="594"/>
        <item m="1" x="700"/>
        <item m="1" x="98"/>
        <item m="1" x="1279"/>
        <item m="1" x="570"/>
        <item m="1" x="643"/>
        <item m="1" x="1473"/>
        <item m="1" x="761"/>
        <item m="1" x="914"/>
        <item m="1" x="759"/>
        <item m="1" x="675"/>
        <item m="1" x="864"/>
        <item m="1" x="801"/>
        <item m="1" x="482"/>
        <item m="1" x="443"/>
        <item m="1" x="293"/>
        <item m="1" x="867"/>
        <item m="1" x="731"/>
        <item m="1" x="990"/>
        <item m="1" x="10"/>
        <item m="1" x="591"/>
        <item m="1" x="422"/>
        <item m="1" x="424"/>
        <item m="1" x="1077"/>
        <item m="1" x="1343"/>
        <item m="1" x="1394"/>
        <item m="1" x="1403"/>
        <item m="1" x="871"/>
        <item m="1" x="1545"/>
        <item m="1" x="1630"/>
        <item m="1" x="402"/>
        <item m="1" x="234"/>
        <item m="1" x="582"/>
        <item m="1" x="103"/>
        <item m="1" x="827"/>
        <item m="1" x="1156"/>
        <item m="1" x="1070"/>
        <item m="1" x="1358"/>
        <item m="1" x="447"/>
        <item m="1" x="163"/>
        <item m="1" x="1448"/>
        <item m="1" x="1678"/>
        <item m="1" x="771"/>
        <item m="1" x="530"/>
        <item m="1" x="1308"/>
        <item m="1" x="328"/>
        <item m="1" x="1195"/>
        <item m="1" x="651"/>
        <item m="1" x="711"/>
        <item m="1" x="1355"/>
        <item m="1" x="1227"/>
        <item m="1" x="126"/>
        <item m="1" x="95"/>
        <item m="1" x="1009"/>
        <item m="1" x="1183"/>
        <item m="1" x="1045"/>
        <item m="1" x="310"/>
        <item m="1" x="879"/>
        <item m="1" x="894"/>
        <item m="1" x="190"/>
        <item m="1" x="1687"/>
        <item m="1" x="754"/>
        <item m="1" x="1258"/>
        <item m="1" x="1002"/>
        <item m="1" x="1036"/>
        <item m="1" x="1021"/>
        <item m="1" x="43"/>
        <item m="1" x="1577"/>
        <item m="1" x="475"/>
        <item m="1" x="968"/>
        <item m="1" x="196"/>
        <item m="1" x="191"/>
        <item m="1" x="861"/>
        <item m="1" x="1599"/>
        <item m="1" x="1235"/>
        <item m="1" x="1092"/>
        <item m="1" x="1698"/>
        <item m="1" x="1127"/>
        <item m="1" x="1184"/>
        <item m="1" x="1253"/>
        <item m="1" x="775"/>
        <item m="1" x="729"/>
        <item m="1" x="1165"/>
        <item m="1" x="390"/>
        <item m="1" x="777"/>
        <item m="1" x="1745"/>
        <item m="1" x="1757"/>
        <item m="1" x="822"/>
        <item m="1" x="413"/>
        <item m="1" x="1642"/>
        <item m="1" x="20"/>
        <item m="1" x="743"/>
        <item m="1" x="140"/>
        <item m="1" x="937"/>
        <item m="1" x="440"/>
        <item m="1" x="1149"/>
        <item m="1" x="1717"/>
        <item m="1" x="1496"/>
        <item m="1" x="172"/>
        <item m="1" x="998"/>
        <item m="1" x="688"/>
        <item m="1" x="1705"/>
        <item m="1" x="316"/>
        <item m="1" x="699"/>
        <item m="1" x="492"/>
        <item m="1" x="259"/>
        <item m="1" x="1602"/>
        <item m="1" x="744"/>
        <item m="1" x="1696"/>
        <item m="1" x="1277"/>
        <item m="1" x="671"/>
        <item m="1" x="1385"/>
        <item m="1" x="195"/>
        <item m="1" x="721"/>
        <item m="1" x="1505"/>
        <item m="1" x="1185"/>
        <item m="1" x="555"/>
        <item m="1" x="294"/>
        <item m="1" x="113"/>
        <item m="1" x="497"/>
        <item m="1" x="361"/>
        <item m="1" x="1583"/>
        <item m="1" x="267"/>
        <item m="1" x="1121"/>
        <item m="1" x="90"/>
        <item m="1" x="548"/>
        <item m="1" x="253"/>
        <item m="1" x="991"/>
        <item m="1" x="851"/>
        <item m="1" x="1150"/>
        <item m="1" x="304"/>
        <item m="1" x="1675"/>
        <item m="1" x="1188"/>
        <item m="1" x="875"/>
        <item m="1" x="478"/>
        <item m="1" x="400"/>
        <item m="1" x="679"/>
        <item m="1" x="902"/>
        <item m="1" x="1157"/>
        <item m="1" x="91"/>
        <item m="1" x="805"/>
        <item m="1" x="1152"/>
        <item m="1" x="595"/>
        <item m="1" x="381"/>
        <item m="1" x="1513"/>
        <item m="1" x="1736"/>
        <item m="1" x="722"/>
        <item m="1" x="915"/>
        <item m="1" x="1467"/>
        <item m="1" x="601"/>
        <item m="1" x="551"/>
        <item m="1" x="1410"/>
        <item m="1" x="540"/>
        <item m="1" x="1551"/>
        <item m="1" x="1472"/>
        <item m="1" x="920"/>
        <item m="1" x="241"/>
        <item m="1" x="1701"/>
        <item m="1" x="122"/>
        <item m="1" x="514"/>
        <item m="1" x="1615"/>
        <item m="1" x="966"/>
        <item m="1" x="618"/>
        <item m="1" x="1645"/>
        <item m="1" x="604"/>
        <item m="1" x="155"/>
        <item m="1" x="1068"/>
        <item m="1" x="1017"/>
        <item m="1" x="1706"/>
        <item m="1" x="1637"/>
        <item m="1" x="1118"/>
        <item m="1" x="203"/>
        <item m="1" x="616"/>
        <item m="1" x="773"/>
        <item m="1" x="273"/>
        <item m="1" x="949"/>
        <item m="1" x="627"/>
        <item m="1" x="820"/>
        <item m="1" x="988"/>
        <item m="1" x="157"/>
        <item m="1" x="1325"/>
        <item m="1" x="909"/>
        <item m="1" x="1573"/>
        <item m="1" x="640"/>
        <item m="1" x="1589"/>
        <item m="1" x="1657"/>
        <item m="1" x="983"/>
        <item m="1" x="1248"/>
        <item m="1" x="476"/>
        <item m="1" x="235"/>
        <item m="1" x="1154"/>
        <item m="1" x="1254"/>
        <item m="1" x="1103"/>
        <item m="1" x="796"/>
        <item m="1" x="1389"/>
        <item m="1" x="1655"/>
        <item m="1" x="808"/>
        <item m="1" x="1537"/>
        <item m="1" x="1299"/>
        <item m="1" x="834"/>
        <item m="1" x="1719"/>
        <item m="1" x="1016"/>
        <item m="1" x="391"/>
        <item m="1" x="198"/>
        <item m="1" x="1288"/>
        <item m="1" x="289"/>
        <item m="1" x="1228"/>
        <item m="1" x="174"/>
        <item m="1" x="1082"/>
        <item m="1" x="150"/>
        <item m="1" x="1078"/>
        <item m="1" x="670"/>
        <item m="1" x="716"/>
        <item m="1" x="1243"/>
        <item m="1" x="1047"/>
        <item m="1" x="1676"/>
        <item m="1" x="1593"/>
        <item m="1" x="794"/>
        <item m="1" x="567"/>
        <item m="1" x="1489"/>
        <item m="1" x="1572"/>
        <item m="1" x="552"/>
        <item m="1" x="363"/>
        <item m="1" x="918"/>
        <item m="1" x="1550"/>
        <item m="1" x="926"/>
        <item m="1" x="772"/>
        <item m="1" x="1060"/>
        <item m="1" x="1111"/>
        <item m="1" x="145"/>
        <item m="1" x="343"/>
        <item m="1" x="1037"/>
        <item m="1" x="1272"/>
        <item m="1" x="5"/>
        <item m="1" x="184"/>
        <item m="1" x="923"/>
        <item m="1" x="1159"/>
        <item m="1" x="562"/>
        <item m="1" x="504"/>
        <item m="1" x="715"/>
        <item m="1" x="1581"/>
        <item m="1" x="539"/>
        <item m="1" x="258"/>
        <item m="1" x="489"/>
        <item m="1" x="1709"/>
        <item m="1" x="106"/>
        <item m="1" x="727"/>
        <item m="1" x="523"/>
        <item m="1" x="395"/>
        <item m="1" x="1758"/>
        <item m="1" x="732"/>
        <item m="1" x="975"/>
        <item m="1" x="1526"/>
        <item m="1" x="1170"/>
        <item m="1" x="532"/>
        <item m="1" x="412"/>
        <item m="1" x="900"/>
        <item m="1" x="199"/>
        <item m="1" x="751"/>
        <item m="1" x="499"/>
        <item m="1" x="1391"/>
        <item m="1" x="701"/>
        <item m="1" x="1673"/>
        <item m="1" x="1382"/>
        <item m="1" x="1580"/>
        <item m="1" x="1694"/>
        <item m="1" x="612"/>
        <item m="1" x="963"/>
        <item m="1" x="549"/>
        <item m="1" x="493"/>
        <item m="1" x="1625"/>
        <item m="1" x="1616"/>
        <item m="1" x="1443"/>
        <item m="1" x="272"/>
        <item m="1" x="980"/>
        <item m="1" x="814"/>
        <item m="1" x="1624"/>
        <item m="1" x="1525"/>
        <item m="1" x="232"/>
        <item m="1" x="430"/>
        <item m="1" x="224"/>
        <item m="1" x="1286"/>
        <item m="1" x="691"/>
        <item m="1" x="621"/>
        <item m="1" x="702"/>
        <item m="1" x="1606"/>
        <item m="1" x="534"/>
        <item m="1" x="611"/>
        <item m="1" x="340"/>
        <item m="1" x="776"/>
        <item m="1" x="752"/>
        <item m="1" x="1198"/>
        <item m="1" x="162"/>
        <item m="1" x="1743"/>
        <item m="1" x="933"/>
        <item m="1" x="344"/>
        <item m="1" x="525"/>
        <item m="1" x="330"/>
        <item m="1" x="335"/>
        <item m="1" x="143"/>
        <item m="1" x="516"/>
        <item m="1" x="1360"/>
        <item m="1" x="1048"/>
        <item m="1" x="1618"/>
        <item m="1" x="741"/>
        <item m="1" x="1266"/>
        <item m="1" x="995"/>
        <item m="1" x="924"/>
        <item m="1" x="1097"/>
        <item m="1" x="1098"/>
        <item m="1" x="907"/>
        <item m="1" x="1569"/>
        <item m="1" x="1256"/>
        <item m="1" x="706"/>
        <item m="1" x="742"/>
        <item m="1" x="1028"/>
        <item m="1" x="1430"/>
        <item m="1" x="1478"/>
        <item m="1" x="179"/>
        <item m="1" x="563"/>
        <item m="1" x="1506"/>
        <item m="1" x="1244"/>
        <item m="1" x="783"/>
        <item m="1" x="1169"/>
        <item m="1" x="1058"/>
        <item m="1" x="946"/>
        <item m="1" x="1416"/>
        <item m="1" x="738"/>
        <item m="1" x="463"/>
        <item m="1" x="425"/>
        <item m="1" x="927"/>
        <item m="1" x="713"/>
        <item m="1" x="357"/>
        <item m="1" x="642"/>
        <item m="1" x="1634"/>
        <item m="1" x="1087"/>
        <item m="1" x="502"/>
        <item m="1" x="1284"/>
        <item m="1" x="1120"/>
        <item m="1" x="436"/>
        <item m="1" x="1732"/>
        <item m="1" x="455"/>
        <item m="1" x="125"/>
        <item m="1" x="1141"/>
        <item m="1" x="1012"/>
        <item m="1" x="1414"/>
        <item m="1" x="149"/>
        <item m="1" x="1365"/>
        <item m="1" x="359"/>
        <item m="1" x="1168"/>
        <item m="1" x="705"/>
        <item m="1" x="1089"/>
        <item m="1" x="1558"/>
        <item m="1" x="1200"/>
        <item m="1" x="1328"/>
        <item m="1" x="1492"/>
        <item m="1" x="1304"/>
        <item m="1" x="837"/>
        <item m="1" x="1619"/>
        <item m="1" x="503"/>
        <item m="1" x="1100"/>
        <item m="1" x="1336"/>
        <item m="1" x="950"/>
        <item m="1" x="1294"/>
        <item m="1" x="1251"/>
        <item m="1" x="1364"/>
        <item m="1" x="626"/>
        <item m="1" x="321"/>
        <item m="1" x="257"/>
        <item m="1" x="1653"/>
        <item m="1" x="1290"/>
        <item m="1" x="50"/>
        <item m="1" x="1668"/>
        <item m="1" x="1487"/>
        <item m="1" x="1348"/>
        <item m="1" x="445"/>
        <item m="1" x="1104"/>
        <item m="1" x="1741"/>
        <item m="1" x="1396"/>
        <item m="1" x="1665"/>
        <item m="1" x="1083"/>
        <item m="1" x="989"/>
        <item m="1" x="487"/>
        <item m="1" x="1420"/>
        <item m="1" x="1484"/>
        <item m="1" x="1373"/>
        <item m="1" x="574"/>
        <item m="1" x="1748"/>
        <item m="1" x="1003"/>
        <item m="1" x="1034"/>
        <item m="1" x="107"/>
        <item m="1" x="110"/>
        <item m="1" x="686"/>
        <item m="1" x="271"/>
        <item m="1" x="580"/>
        <item m="1" x="1106"/>
        <item m="1" x="1750"/>
        <item m="1" x="1594"/>
        <item m="1" x="1361"/>
        <item m="1" x="1720"/>
        <item m="1" x="509"/>
        <item m="1" x="465"/>
        <item m="1" x="1660"/>
        <item m="1" x="1568"/>
        <item m="1" x="1507"/>
        <item m="1" x="1524"/>
        <item m="1" x="1729"/>
        <item m="1" x="152"/>
        <item m="1" x="693"/>
        <item m="1" x="1084"/>
        <item m="1" x="1636"/>
        <item m="1" x="1167"/>
        <item m="1" x="411"/>
        <item m="1" x="200"/>
        <item m="1" x="1178"/>
        <item m="1" x="148"/>
        <item m="1" x="847"/>
        <item m="1" x="124"/>
        <item m="1" x="24"/>
        <item m="1" x="590"/>
        <item m="1" x="1588"/>
        <item m="1" x="1205"/>
        <item m="1" x="1626"/>
        <item m="1" x="981"/>
        <item m="1" x="62"/>
        <item m="1" x="1429"/>
        <item m="1" x="709"/>
        <item m="1" x="449"/>
        <item m="1" x="1561"/>
        <item m="1" x="1442"/>
        <item m="1" x="1099"/>
        <item m="1" x="141"/>
        <item m="1" x="538"/>
        <item m="1" x="1718"/>
        <item m="1" x="550"/>
        <item m="1" x="1433"/>
        <item m="1" x="30"/>
        <item m="1" x="319"/>
        <item m="1" x="188"/>
        <item m="1" x="1509"/>
        <item m="1" x="1215"/>
        <item m="1" x="498"/>
        <item m="1" x="441"/>
        <item m="1" x="1007"/>
        <item m="1" x="485"/>
        <item m="1" x="473"/>
        <item m="1" x="886"/>
        <item m="1" x="690"/>
        <item m="1" x="1415"/>
        <item m="1" x="931"/>
        <item m="1" x="466"/>
        <item m="1" x="1180"/>
        <item m="1" x="1369"/>
        <item m="1" x="34"/>
        <item m="1" x="1005"/>
        <item m="1" x="647"/>
        <item m="1" x="183"/>
        <item m="1" x="265"/>
        <item m="1" x="665"/>
        <item m="1" x="220"/>
        <item m="1" x="65"/>
        <item m="1" x="1042"/>
        <item m="1" x="39"/>
        <item m="1" x="1056"/>
        <item m="1" x="164"/>
        <item m="1" x="1629"/>
        <item m="1" x="1378"/>
        <item m="1" x="360"/>
        <item m="1" x="1587"/>
        <item m="1" x="1441"/>
        <item m="1" x="758"/>
        <item m="1" x="397"/>
        <item m="1" x="739"/>
        <item m="1" x="49"/>
        <item m="1" x="622"/>
        <item m="1" x="275"/>
        <item m="1" x="1689"/>
        <item m="1" x="572"/>
        <item m="1" x="500"/>
        <item m="1" x="1574"/>
        <item m="1" x="575"/>
        <item m="1" x="784"/>
        <item m="1" x="327"/>
        <item m="1" x="1039"/>
        <item m="1" x="67"/>
        <item m="1" x="1032"/>
        <item m="1" x="1055"/>
        <item m="1" x="245"/>
        <item m="1" x="897"/>
        <item m="1" x="132"/>
        <item m="1" x="986"/>
        <item m="1" x="388"/>
        <item m="1" x="817"/>
        <item m="1" x="376"/>
        <item m="1" x="249"/>
        <item m="1" x="261"/>
        <item m="1" x="565"/>
        <item m="1" x="1372"/>
        <item m="1" x="641"/>
        <item m="1" x="1344"/>
        <item m="1" x="266"/>
        <item m="1" x="1316"/>
        <item m="1" x="1276"/>
        <item m="1" x="1690"/>
        <item m="1" x="1739"/>
        <item m="1" x="323"/>
        <item m="1" x="1481"/>
        <item m="1" x="230"/>
        <item m="1" x="1444"/>
        <item m="1" x="568"/>
        <item m="1" x="268"/>
        <item m="1" x="955"/>
        <item m="1" x="406"/>
        <item m="1" x="244"/>
        <item m="1" x="1643"/>
        <item m="1" x="1196"/>
        <item m="1" x="1407"/>
        <item m="1" x="857"/>
        <item m="1" x="1351"/>
        <item m="1" x="317"/>
        <item m="1" x="1482"/>
        <item m="1" x="434"/>
        <item m="1" x="1363"/>
        <item m="1" x="73"/>
        <item m="1" x="762"/>
        <item m="1" x="841"/>
        <item m="1" x="1151"/>
        <item m="1" x="855"/>
        <item m="1" x="3"/>
        <item m="1" x="444"/>
        <item m="1" x="1419"/>
        <item m="1" x="519"/>
        <item m="1" x="161"/>
        <item m="1" x="1440"/>
        <item m="1" x="1172"/>
        <item m="1" x="650"/>
        <item m="1" x="628"/>
        <item m="1" x="401"/>
        <item m="1" x="96"/>
        <item m="1" x="666"/>
        <item m="1" x="382"/>
        <item m="1" x="517"/>
        <item m="1" x="185"/>
        <item m="1" x="337"/>
        <item m="1" x="284"/>
        <item m="1" x="1458"/>
        <item m="1" x="351"/>
        <item m="1" x="160"/>
        <item m="1" x="296"/>
        <item m="1" x="1708"/>
        <item m="1" x="945"/>
        <item m="1" x="893"/>
        <item m="1" x="1187"/>
        <item m="1" x="1557"/>
        <item m="1" x="1707"/>
        <item m="1" x="1189"/>
        <item m="1" x="483"/>
        <item m="1" x="352"/>
        <item m="1" x="1326"/>
        <item m="1" x="1627"/>
        <item m="1" x="655"/>
        <item m="1" x="1311"/>
        <item m="1" x="1224"/>
        <item m="1" x="892"/>
        <item m="1" x="1283"/>
        <item m="1" x="87"/>
        <item m="1" x="47"/>
        <item m="1" x="394"/>
        <item m="1" x="1041"/>
        <item m="1" x="1136"/>
        <item m="1" x="1096"/>
        <item m="1" x="649"/>
        <item m="1" x="903"/>
        <item m="1" x="159"/>
        <item m="1" x="1697"/>
        <item m="1" x="780"/>
        <item m="1" x="458"/>
        <item m="1" x="559"/>
        <item m="1" x="1469"/>
        <item m="1" x="863"/>
        <item m="1" x="1292"/>
        <item m="1" x="292"/>
        <item m="1" x="31"/>
        <item m="1" x="26"/>
        <item m="1" x="404"/>
        <item m="1" x="495"/>
        <item m="1" x="1674"/>
        <item m="1" x="131"/>
        <item m="1" x="61"/>
        <item m="1" x="545"/>
        <item m="1" x="480"/>
        <item m="1" x="533"/>
        <item m="1" x="1575"/>
        <item m="1" x="1598"/>
        <item m="1" x="460"/>
        <item m="1" x="181"/>
        <item m="1" x="911"/>
        <item m="1" x="996"/>
        <item m="1" x="1063"/>
        <item m="1" x="1493"/>
        <item m="1" x="971"/>
        <item m="1" x="105"/>
        <item m="1" x="177"/>
        <item m="1" x="305"/>
        <item m="1" x="1381"/>
        <item m="1" x="714"/>
        <item m="1" x="246"/>
        <item m="1" x="1013"/>
        <item m="1" x="1352"/>
        <item m="1" x="1437"/>
        <item m="1" x="1257"/>
        <item m="1" x="1158"/>
        <item m="1" x="97"/>
        <item m="1" x="448"/>
        <item m="1" x="887"/>
        <item m="1" x="1546"/>
        <item m="1" x="694"/>
        <item m="1" x="88"/>
        <item m="1" x="250"/>
        <item m="1" x="226"/>
        <item m="1" x="766"/>
        <item m="1" x="1555"/>
        <item m="1" x="1110"/>
        <item m="1" x="1559"/>
        <item m="1" x="825"/>
        <item m="1" x="1234"/>
        <item m="1" x="1091"/>
        <item m="1" x="287"/>
        <item m="1" x="490"/>
        <item m="1" x="696"/>
        <item m="1" x="1661"/>
        <item m="1" x="512"/>
        <item m="1" x="403"/>
        <item m="1" x="54"/>
        <item m="1" x="1432"/>
        <item m="1" x="1543"/>
        <item m="1" x="56"/>
        <item m="1" x="169"/>
        <item m="1" x="644"/>
        <item m="1" x="1457"/>
        <item m="1" x="135"/>
        <item m="1" x="1199"/>
        <item m="1" x="1677"/>
        <item m="1" x="1727"/>
        <item m="1" x="1456"/>
        <item m="1" x="1207"/>
        <item m="1" x="712"/>
        <item m="1" x="708"/>
        <item m="1" x="1000"/>
        <item m="1" x="36"/>
        <item m="1" x="938"/>
        <item m="1" x="610"/>
        <item m="1" x="108"/>
        <item m="1" x="1202"/>
        <item m="1" x="870"/>
        <item m="1" x="1520"/>
        <item m="1" x="53"/>
        <item m="1" x="835"/>
        <item m="1" x="1654"/>
        <item m="1" x="1585"/>
        <item m="1" x="558"/>
        <item m="1" x="1485"/>
        <item m="1" x="127"/>
        <item m="1" x="1477"/>
        <item m="1" x="367"/>
        <item m="1" x="587"/>
        <item m="1" x="547"/>
        <item m="1" x="657"/>
        <item m="1" x="71"/>
        <item m="1" x="1307"/>
        <item m="1" x="1226"/>
        <item m="1" x="882"/>
        <item m="1" x="370"/>
        <item m="1" x="599"/>
        <item m="1" x="22"/>
        <item m="1" x="156"/>
        <item m="1" x="1339"/>
        <item m="1" x="798"/>
        <item m="1" x="948"/>
        <item m="1" x="415"/>
        <item m="1" x="1230"/>
        <item m="1" x="1439"/>
        <item m="1" x="1033"/>
        <item m="1" x="960"/>
        <item m="1" x="1216"/>
        <item m="1" x="943"/>
        <item m="1" x="1350"/>
        <item m="1" x="27"/>
        <item m="1" x="1488"/>
        <item m="1" x="799"/>
        <item m="1" x="940"/>
        <item m="1" x="1354"/>
        <item m="1" x="1670"/>
        <item m="1" x="1102"/>
        <item m="1" x="1647"/>
        <item m="1" x="192"/>
        <item m="1" x="1586"/>
        <item m="1" x="1592"/>
        <item m="1" x="332"/>
        <item m="1" x="1475"/>
        <item m="1" x="1179"/>
        <item m="1" x="747"/>
        <item m="1" x="1122"/>
        <item m="1" x="1417"/>
        <item m="1" x="1046"/>
        <item m="1" x="1287"/>
        <item m="1" x="1282"/>
        <item m="1" x="573"/>
        <item m="1" x="1584"/>
        <item m="1" x="1646"/>
        <item m="1" x="405"/>
        <item m="1" x="617"/>
        <item m="1" x="1392"/>
        <item m="1" x="1259"/>
        <item m="1" x="788"/>
        <item m="1" x="484"/>
        <item m="1" x="298"/>
        <item m="1" x="1109"/>
        <item m="1" x="745"/>
        <item m="1" x="423"/>
        <item m="1" x="976"/>
        <item m="1" x="734"/>
        <item m="1" x="1502"/>
        <item m="1" x="896"/>
        <item m="1" x="433"/>
        <item m="1" x="889"/>
        <item m="1" x="760"/>
        <item m="1" x="1610"/>
        <item m="1" x="1501"/>
        <item m="1" x="910"/>
        <item m="1" x="432"/>
        <item m="1" x="1267"/>
        <item m="1" x="1126"/>
        <item m="1" x="977"/>
        <item m="1" x="1133"/>
        <item m="1" x="1117"/>
        <item m="1" x="719"/>
        <item m="1" x="324"/>
        <item m="1" x="1225"/>
        <item m="1" x="1073"/>
        <item m="1" x="524"/>
        <item m="1" x="1201"/>
        <item m="1" x="142"/>
        <item m="1" x="134"/>
        <item m="1" x="1285"/>
        <item m="1" x="72"/>
        <item m="1" x="531"/>
        <item m="1" x="469"/>
        <item m="1" x="992"/>
        <item m="1" x="92"/>
        <item m="1" x="521"/>
        <item m="1" x="810"/>
        <item m="1" x="1115"/>
        <item m="1" x="826"/>
        <item m="1" x="899"/>
        <item m="1" x="1192"/>
        <item m="1" x="341"/>
        <item m="1" x="1135"/>
        <item m="1" x="537"/>
        <item m="1" x="1431"/>
        <item m="1" x="1639"/>
        <item m="1" x="543"/>
        <item m="1" x="1303"/>
        <item m="1" x="1300"/>
        <item m="1" x="168"/>
        <item m="1" x="1220"/>
        <item m="1" x="1232"/>
        <item m="1" x="593"/>
        <item m="1" x="678"/>
        <item m="1" x="129"/>
        <item m="1" x="1237"/>
        <item m="1" x="1600"/>
        <item m="1" x="1751"/>
        <item m="1" x="312"/>
        <item m="1" x="1124"/>
        <item m="1" x="853"/>
        <item m="1" x="662"/>
        <item m="1" x="38"/>
        <item m="1" x="1153"/>
        <item m="1" x="1138"/>
        <item m="1" x="1367"/>
        <item m="1" x="872"/>
        <item m="1" x="1233"/>
        <item m="1" x="464"/>
        <item m="1" x="583"/>
        <item m="1" x="133"/>
        <item m="1" x="881"/>
        <item m="1" x="1057"/>
        <item m="1" x="55"/>
        <item m="1" x="526"/>
        <item m="1" x="1563"/>
        <item m="1" x="334"/>
        <item m="1" x="586"/>
        <item m="1" x="205"/>
        <item m="1" x="541"/>
        <item m="1" x="1617"/>
        <item m="1" x="1614"/>
        <item m="1" x="1345"/>
        <item m="1" x="354"/>
        <item m="1" x="137"/>
        <item m="1" x="1074"/>
        <item m="1" x="942"/>
        <item m="1" x="429"/>
        <item m="1" x="1204"/>
        <item m="1" x="1252"/>
        <item m="1" x="1671"/>
        <item m="1" x="82"/>
        <item m="1" x="1236"/>
        <item m="1" x="114"/>
        <item m="1" x="951"/>
        <item m="1" x="1659"/>
        <item m="1" x="477"/>
        <item m="1" x="297"/>
        <item m="1" x="1208"/>
        <item m="1" x="973"/>
        <item m="1" x="204"/>
        <item m="1" x="481"/>
        <item m="1" x="472"/>
        <item m="1" x="100"/>
        <item m="1" x="860"/>
        <item m="1" x="1463"/>
        <item m="1" x="1194"/>
        <item m="1" x="80"/>
        <item m="1" x="1054"/>
        <item m="1" x="785"/>
        <item m="1" x="1241"/>
        <item m="1" x="770"/>
        <item m="1" x="625"/>
        <item m="1" x="1649"/>
        <item m="1" x="704"/>
        <item m="1" x="1648"/>
        <item m="1" x="299"/>
        <item m="1" x="1323"/>
        <item m="1" x="878"/>
        <item m="1" x="659"/>
        <item m="1" x="660"/>
        <item m="1" x="419"/>
        <item m="1" x="1623"/>
        <item m="1" x="735"/>
        <item m="1" x="1523"/>
        <item m="1" x="1566"/>
        <item m="1" x="528"/>
        <item m="1" x="680"/>
        <item m="1" x="1043"/>
        <item m="1" x="1359"/>
        <item m="1" x="1116"/>
        <item m="1" x="1408"/>
        <item m="1" x="993"/>
        <item m="1" x="350"/>
        <item m="1" x="757"/>
        <item m="1" x="1059"/>
        <item m="1" x="8"/>
        <item m="1" x="151"/>
        <item m="1" x="518"/>
        <item m="1" x="208"/>
        <item m="1" x="1752"/>
        <item m="1" x="1105"/>
        <item m="1" x="1255"/>
        <item m="1" x="1366"/>
        <item m="1" x="70"/>
        <item m="1" x="154"/>
        <item m="1" x="470"/>
        <item m="1" x="710"/>
        <item m="1" x="692"/>
        <item m="1" x="725"/>
        <item m="1" x="664"/>
        <item m="1" x="836"/>
        <item m="1" x="1662"/>
        <item m="1" x="1008"/>
        <item m="1" x="302"/>
        <item m="1" x="1375"/>
        <item m="1" x="654"/>
        <item m="1" x="619"/>
        <item m="1" x="117"/>
        <item m="1" x="813"/>
        <item m="1" x="35"/>
        <item m="1" x="1404"/>
        <item m="1" x="1522"/>
        <item m="1" x="1512"/>
        <item m="1" x="954"/>
        <item m="1" x="1079"/>
        <item m="1" x="961"/>
        <item m="1" x="1393"/>
        <item m="1" x="1744"/>
        <item m="1" x="728"/>
        <item m="1" x="624"/>
        <item m="1" x="695"/>
        <item m="1" x="1332"/>
        <item m="1" x="138"/>
        <item m="1" x="527"/>
        <item m="1" x="409"/>
        <item m="1" x="1051"/>
        <item m="1" x="1069"/>
        <item m="1" x="929"/>
        <item m="1" x="1735"/>
        <item m="1" x="1040"/>
        <item m="1" x="75"/>
        <item m="1" x="365"/>
        <item m="1" x="1656"/>
        <item m="1" x="102"/>
        <item m="1" x="139"/>
        <item m="1" x="456"/>
        <item m="1" x="1038"/>
        <item m="1" x="1711"/>
        <item m="1" x="932"/>
        <item m="1" x="1570"/>
        <item m="1" x="557"/>
        <item m="1" x="209"/>
        <item m="1" x="684"/>
        <item m="1" x="167"/>
        <item m="1" x="431"/>
        <item m="1" x="1129"/>
        <item m="1" x="1238"/>
        <item m="1" x="285"/>
        <item m="1" x="170"/>
        <item m="1" x="68"/>
        <item m="1" x="1015"/>
        <item m="1" x="1177"/>
        <item m="1" x="1114"/>
        <item m="1" x="828"/>
        <item m="1" x="905"/>
        <item m="1" x="1412"/>
        <item m="1" x="1486"/>
        <item m="1" x="1240"/>
        <item m="1" x="44"/>
        <item m="1" x="1334"/>
        <item m="1" x="653"/>
        <item m="1" x="631"/>
        <item m="1" x="255"/>
        <item m="1" x="506"/>
        <item m="1" x="597"/>
        <item m="1" x="1471"/>
        <item m="1" x="389"/>
        <item m="1" x="1504"/>
        <item m="1" x="859"/>
        <item m="1" x="1341"/>
        <item m="1" x="372"/>
        <item m="1" x="1682"/>
        <item m="1" x="845"/>
        <item m="1" x="703"/>
        <item m="1" x="652"/>
        <item m="1" x="632"/>
        <item m="1" x="1666"/>
        <item m="1" x="182"/>
        <item m="1" x="974"/>
        <item m="1" x="309"/>
        <item m="1" x="634"/>
        <item m="1" x="592"/>
        <item m="1" x="1090"/>
        <item m="1" x="1611"/>
        <item m="1" x="1436"/>
        <item m="1" x="379"/>
        <item m="1" x="153"/>
        <item m="1" x="486"/>
        <item m="1" x="399"/>
        <item m="1" x="329"/>
        <item m="1" x="511"/>
        <item m="1" x="1533"/>
        <item m="1" x="130"/>
        <item m="1" x="426"/>
        <item m="1" x="849"/>
        <item m="1" x="295"/>
        <item m="1" x="967"/>
        <item m="1" x="1095"/>
        <item m="1" x="446"/>
        <item m="1" x="846"/>
        <item m="1" x="307"/>
        <item m="1" x="311"/>
        <item m="1" x="1542"/>
        <item m="1" x="507"/>
        <item m="1" x="1376"/>
        <item m="1" x="1596"/>
        <item m="1" x="658"/>
        <item m="1" x="1356"/>
        <item m="1" x="1652"/>
        <item m="1" x="1692"/>
        <item m="1" x="1327"/>
        <item m="1" x="865"/>
        <item m="1" x="1085"/>
        <item m="1" x="1455"/>
        <item m="1" x="474"/>
        <item m="1" x="18"/>
        <item m="1" x="1318"/>
        <item m="1" x="210"/>
        <item m="1" x="941"/>
        <item m="1" x="623"/>
        <item m="1" x="1579"/>
        <item m="1" x="1162"/>
        <item m="1" x="838"/>
        <item m="1" x="1333"/>
        <item m="1" x="1411"/>
        <item m="1" x="1142"/>
        <item m="1" x="1571"/>
        <item m="1" x="1217"/>
        <item m="1" x="536"/>
        <item m="1" x="1295"/>
        <item m="1" x="243"/>
        <item m="1" x="1302"/>
        <item m="1" x="14"/>
        <item m="1" x="786"/>
        <item m="1" x="795"/>
        <item m="1" x="339"/>
        <item m="1" x="116"/>
        <item m="1" x="883"/>
        <item m="1" x="1231"/>
        <item m="1" x="1401"/>
        <item m="1" x="1459"/>
        <item m="1" x="280"/>
        <item m="1" x="683"/>
        <item m="1" x="1246"/>
        <item m="1" x="638"/>
        <item m="1" x="1379"/>
        <item m="1" x="833"/>
        <item m="1" x="1353"/>
        <item m="1" x="1466"/>
        <item m="1" x="165"/>
        <item m="1" x="1186"/>
        <item m="1" x="13"/>
        <item m="1" x="1425"/>
        <item m="1" x="201"/>
        <item m="1" x="630"/>
        <item m="1" x="1018"/>
        <item m="1" x="276"/>
        <item m="1" x="349"/>
        <item m="1" x="1591"/>
        <item m="1" x="1603"/>
        <item m="1" x="1722"/>
        <item m="1" x="873"/>
        <item m="1" x="1714"/>
        <item m="1" x="1564"/>
        <item m="1" x="895"/>
        <item m="1" x="1321"/>
        <item m="1" x="371"/>
        <item m="1" x="48"/>
        <item m="1" x="336"/>
        <item m="1" x="717"/>
        <item m="1" x="1454"/>
        <item m="1" x="1422"/>
        <item m="1" x="345"/>
        <item m="1" x="1193"/>
        <item m="1" x="1030"/>
        <item m="1" x="242"/>
        <item m="1" x="136"/>
        <item m="1" x="1273"/>
        <item m="1" x="1730"/>
        <item m="1" x="1733"/>
        <item m="1" x="1597"/>
        <item m="1" x="1380"/>
        <item m="1" x="791"/>
        <item m="1" x="1578"/>
        <item m="1" x="1147"/>
        <item m="1" x="1684"/>
        <item m="1" x="1631"/>
        <item m="1" x="890"/>
        <item m="1" x="1681"/>
        <item m="1" x="913"/>
        <item m="1" x="1271"/>
        <item m="1" x="342"/>
        <item m="1" x="358"/>
        <item m="1" x="1548"/>
        <item m="1" x="1076"/>
        <item m="1" x="1754"/>
        <item m="1" x="520"/>
        <item m="1" x="119"/>
        <item m="1" x="37"/>
        <item m="1" x="300"/>
        <item m="1" x="1552"/>
        <item m="1" x="1688"/>
        <item m="1" x="32"/>
        <item m="1" x="797"/>
        <item m="1" x="803"/>
        <item m="1" x="227"/>
        <item m="1" x="1663"/>
        <item m="1" x="1672"/>
        <item m="1" x="471"/>
        <item m="1" x="1465"/>
        <item m="1" x="146"/>
        <item m="1" x="792"/>
        <item m="1" x="1521"/>
        <item m="1" x="522"/>
        <item m="1" x="1088"/>
        <item m="1" x="898"/>
        <item m="1" x="254"/>
        <item m="1" x="1702"/>
        <item m="1" x="876"/>
        <item m="1" x="674"/>
        <item m="1" x="1538"/>
        <item m="1" x="1026"/>
        <item m="1" x="173"/>
        <item m="1" x="1031"/>
        <item m="1" x="1499"/>
        <item m="1" x="4"/>
        <item m="1" x="1725"/>
        <item m="1" x="972"/>
        <item m="1" x="901"/>
        <item m="1" x="629"/>
        <item m="1" x="928"/>
        <item m="1" x="602"/>
        <item m="1" x="1175"/>
        <item m="1" x="736"/>
        <item m="1" x="984"/>
        <item m="1" x="1468"/>
        <item m="1" x="94"/>
        <item m="1" x="1724"/>
        <item m="1" x="366"/>
        <item m="1" x="118"/>
        <item m="1" x="823"/>
        <item m="1" x="1229"/>
        <item m="1" x="569"/>
        <item m="1" x="1510"/>
        <item m="1" x="821"/>
        <item m="1" x="969"/>
        <item m="1" x="1453"/>
        <item m="1" x="1064"/>
        <item m="1" x="1160"/>
        <item m="1" x="60"/>
        <item m="1" x="1544"/>
        <item m="1" x="123"/>
        <item m="1" x="1247"/>
        <item m="1" x="1144"/>
        <item m="1" x="1560"/>
        <item m="1" x="338"/>
        <item m="1" x="1620"/>
        <item m="1" x="231"/>
        <item m="1" x="437"/>
        <item m="1" x="438"/>
        <item m="1" x="1269"/>
        <item m="1" x="1312"/>
        <item m="1" x="620"/>
        <item m="1" x="1123"/>
        <item m="1" x="1011"/>
        <item m="1" x="74"/>
        <item m="1" x="755"/>
        <item m="1" x="718"/>
        <item m="1" x="1001"/>
        <item m="1" x="314"/>
        <item m="1" x="1014"/>
        <item m="1" x="852"/>
        <item m="1" x="1604"/>
        <item m="1" x="219"/>
        <item m="1" x="1449"/>
        <item m="1" x="217"/>
        <item m="1" x="513"/>
        <item m="1" x="510"/>
        <item m="1" x="1368"/>
        <item m="1" x="607"/>
        <item m="1" x="737"/>
        <item m="1" x="689"/>
        <item m="1" x="99"/>
        <item m="1" x="1370"/>
        <item m="1" x="315"/>
        <item m="1" x="313"/>
        <item m="1" x="1377"/>
        <item m="1" x="774"/>
        <item m="1" x="308"/>
        <item m="1" x="45"/>
        <item m="1" x="1035"/>
        <item m="1" x="1371"/>
        <item m="1" x="1715"/>
        <item m="1" x="1409"/>
        <item m="1" x="1066"/>
        <item m="1" x="223"/>
        <item m="1" x="1397"/>
        <item m="1" x="420"/>
        <item m="1" x="1094"/>
        <item m="1" x="1532"/>
        <item m="1" x="1517"/>
        <item m="1" x="806"/>
        <item m="1" x="1093"/>
        <item m="1" x="880"/>
        <item m="1" x="740"/>
        <item m="1" x="158"/>
        <item m="1" x="228"/>
        <item m="1" x="387"/>
        <item m="1" x="1491"/>
        <item m="1" x="211"/>
        <item m="1" x="439"/>
        <item m="1" x="1329"/>
        <item m="1" x="1734"/>
        <item m="1" x="1289"/>
        <item m="1" x="1166"/>
        <item m="1" x="84"/>
        <item m="1" x="1049"/>
        <item m="1" x="571"/>
        <item m="1" x="408"/>
        <item m="1" x="1635"/>
        <item m="1" x="1182"/>
        <item m="1" x="1716"/>
        <item m="1" x="175"/>
        <item m="1" x="843"/>
        <item m="1" x="1721"/>
        <item m="1" x="1214"/>
        <item m="1" x="724"/>
        <item m="1" x="290"/>
        <item m="1" x="247"/>
        <item m="1" x="1737"/>
        <item m="1" x="1383"/>
        <item m="1" x="79"/>
        <item m="1" x="1319"/>
        <item m="1" x="385"/>
        <item m="1" x="566"/>
        <item m="1" x="1161"/>
        <item m="1" x="1609"/>
        <item m="1" x="952"/>
        <item m="1" x="1265"/>
        <item m="1" x="1191"/>
        <item m="1" x="1245"/>
        <item m="1" x="1387"/>
        <item m="1" x="1498"/>
        <item m="1" x="233"/>
        <item m="1" x="667"/>
        <item m="1" x="64"/>
        <item m="1" x="393"/>
        <item m="1" x="763"/>
        <item m="1" x="1601"/>
        <item m="1" x="12"/>
        <item m="1" x="947"/>
        <item m="1" x="418"/>
        <item m="1" x="1335"/>
        <item m="1" x="1027"/>
        <item m="1" x="1131"/>
        <item m="1" x="1531"/>
        <item m="1" x="781"/>
        <item m="1" x="104"/>
        <item m="1" x="1395"/>
        <item m="1" x="636"/>
        <item m="1" x="681"/>
        <item m="1" x="1029"/>
        <item m="1" x="1628"/>
        <item m="1" x="1695"/>
        <item m="1" x="1494"/>
        <item m="1" x="286"/>
        <item m="1" x="1346"/>
        <item m="1" x="778"/>
        <item m="1" x="42"/>
        <item m="1" x="844"/>
        <item m="1" x="819"/>
        <item m="1" x="726"/>
        <item m="1" x="1164"/>
        <item m="1" x="1314"/>
        <item m="1" x="1685"/>
        <item m="1" x="1438"/>
        <item m="1" x="556"/>
        <item m="1" x="176"/>
        <item m="1" x="459"/>
        <item m="1" x="467"/>
        <item m="1" x="676"/>
        <item m="1" x="240"/>
        <item m="1" x="856"/>
        <item m="1" x="997"/>
        <item m="1" x="707"/>
        <item m="1" x="78"/>
        <item m="1" x="1362"/>
        <item m="1" x="1553"/>
        <item m="1" x="1535"/>
        <item m="1" x="546"/>
        <item m="1" x="1342"/>
        <item m="1" x="40"/>
        <item m="1" x="1143"/>
        <item m="1" x="1605"/>
        <item m="1" x="842"/>
        <item m="1" x="206"/>
        <item m="1" x="613"/>
        <item m="1" x="9"/>
        <item m="1" x="804"/>
        <item m="1" x="1582"/>
        <item m="1" x="885"/>
        <item m="1" x="1608"/>
        <item m="1" x="767"/>
        <item m="1" x="1263"/>
        <item m="1" x="584"/>
        <item m="1" x="348"/>
        <item m="1" x="171"/>
        <item m="1" x="1212"/>
        <item m="1" x="396"/>
        <item m="1" x="1595"/>
        <item m="1" x="147"/>
        <item m="1" x="1638"/>
        <item m="1" x="1213"/>
        <item m="1" x="1460"/>
        <item m="1" x="866"/>
        <item m="1" x="1405"/>
        <item m="1" x="603"/>
        <item m="1" x="789"/>
        <item m="1" x="1297"/>
        <item m="1" x="115"/>
        <item m="1" x="1137"/>
        <item m="1" x="410"/>
        <item m="1" x="1747"/>
        <item m="1" x="303"/>
        <item m="1" x="274"/>
        <item m="1" x="1349"/>
        <item m="1" x="1320"/>
        <item m="1" x="6"/>
        <item m="1" x="1218"/>
        <item m="1" x="1053"/>
        <item m="1" x="283"/>
        <item m="1" x="1330"/>
        <item m="1" x="120"/>
        <item m="1" x="218"/>
        <item m="1" x="891"/>
        <item m="1" x="1464"/>
        <item m="1" x="1145"/>
        <item m="1" x="375"/>
        <item m="1" x="1700"/>
        <item m="1" x="639"/>
        <item m="1" x="326"/>
        <item m="1" x="59"/>
        <item m="1" x="1490"/>
        <item m="1" x="1264"/>
        <item m="1" x="1519"/>
        <item m="1" x="496"/>
        <item m="1" x="1418"/>
        <item m="1" x="1140"/>
        <item m="1" x="1651"/>
        <item m="1" x="364"/>
        <item m="1" x="331"/>
        <item m="1" x="985"/>
        <item m="1" x="1148"/>
        <item m="1" x="1130"/>
        <item m="1" x="505"/>
        <item m="1" x="1742"/>
        <item m="1" x="1508"/>
        <item m="1" x="1738"/>
        <item m="1" x="600"/>
        <item m="1" x="451"/>
        <item m="1" x="956"/>
        <item m="1" x="919"/>
        <item m="1" x="1424"/>
        <item m="1" x="29"/>
        <item m="1" x="1529"/>
        <item m="1" x="1713"/>
        <item m="1" x="93"/>
        <item m="1" x="417"/>
        <item m="1" x="450"/>
        <item m="1" x="194"/>
        <item m="1" x="322"/>
        <item m="1" x="213"/>
        <item m="1" x="682"/>
        <item m="1" x="1260"/>
        <item m="1" x="1699"/>
        <item m="1" x="178"/>
        <item m="1" x="501"/>
        <item m="1" x="720"/>
        <item m="1" x="461"/>
        <item m="1" x="944"/>
        <item m="1" x="687"/>
        <item m="1" x="301"/>
        <item m="1" x="769"/>
        <item m="1" x="262"/>
        <item m="1" x="1125"/>
        <item m="1" x="560"/>
        <item m="1" x="1052"/>
        <item m="1" x="1576"/>
        <item m="1" x="355"/>
        <item m="1" x="1384"/>
        <item m="1" x="1640"/>
        <item m="1" x="663"/>
        <item m="1" x="698"/>
        <item m="1" x="325"/>
        <item m="1" x="1607"/>
        <item m="1" x="1669"/>
        <item m="1" x="362"/>
        <item m="1" x="1423"/>
        <item m="1" x="51"/>
        <item m="1" x="278"/>
        <item m="1" x="1590"/>
        <item m="1" x="585"/>
        <item m="1" x="958"/>
        <item m="1" x="1427"/>
        <item m="1" x="884"/>
        <item m="1" x="831"/>
        <item m="1" x="1221"/>
        <item m="1" x="1113"/>
        <item m="1" x="1612"/>
        <item m="1" x="2"/>
        <item m="1" x="987"/>
        <item m="1" x="21"/>
        <item m="1" x="970"/>
        <item m="1" x="1541"/>
        <item m="1" x="1567"/>
        <item m="1" x="1664"/>
        <item m="1" x="787"/>
        <item m="1" x="1749"/>
        <item m="1" x="1514"/>
        <item m="1" x="1500"/>
        <item m="1" x="46"/>
        <item m="1" x="369"/>
        <item m="1" x="1347"/>
        <item m="1" x="1197"/>
        <item m="1" x="840"/>
        <item m="1" x="1171"/>
        <item m="1" x="868"/>
        <item m="1" x="818"/>
        <item m="1" x="19"/>
        <item x="0"/>
        <item x="1"/>
        <item m="1" x="1556"/>
        <item m="1" x="508"/>
        <item m="1" x="749"/>
      </items>
    </pivotField>
    <pivotField compact="0" outline="0" showAll="0"/>
    <pivotField compact="0" outline="0" showAll="0"/>
    <pivotField compact="0" outline="0" showAll="0"/>
    <pivotField compact="0" outline="0" showAll="0"/>
    <pivotField compact="0" outline="0" showAll="0" defaultSubtotal="0"/>
    <pivotField dataField="1" compact="0" outline="0" showAll="0"/>
    <pivotField dataField="1" compact="0" outline="0" showAll="0"/>
    <pivotField dataField="1" compact="0" outline="0" showAll="0"/>
    <pivotField dataField="1" compact="0" outline="0" showAll="0"/>
    <pivotField compact="0" outline="0" dragToRow="0" dragToCol="0" dragToPage="0" showAll="0" defaultSubtotal="0"/>
  </pivotFields>
  <rowFields count="5">
    <field x="1"/>
    <field x="2"/>
    <field x="3"/>
    <field x="18"/>
    <field x="13"/>
  </rowFields>
  <rowItems count="3">
    <i>
      <x v="7"/>
      <x v="17"/>
      <x v="53"/>
      <x v="1754"/>
      <x v="1753"/>
    </i>
    <i r="1">
      <x v="18"/>
      <x v="52"/>
      <x v="1755"/>
      <x v="1754"/>
    </i>
    <i r="1">
      <x v="19"/>
      <x v="54"/>
      <x v="1754"/>
      <x v="1753"/>
    </i>
  </rowItems>
  <colFields count="1">
    <field x="-2"/>
  </colFields>
  <colItems count="7">
    <i>
      <x/>
    </i>
    <i i="1">
      <x v="1"/>
    </i>
    <i i="2">
      <x v="2"/>
    </i>
    <i i="3">
      <x v="3"/>
    </i>
    <i i="4">
      <x v="4"/>
    </i>
    <i i="5">
      <x v="5"/>
    </i>
    <i i="6">
      <x v="6"/>
    </i>
  </colItems>
  <dataFields count="7">
    <dataField name="Average of Year" fld="1" subtotal="average" baseField="13" baseItem="1736"/>
    <dataField name="Min of Stratum" fld="2" subtotal="min" baseField="0" baseItem="0"/>
    <dataField name=" Carbon stocks density of trees (t CO2e ha-1)" fld="24" baseField="2" baseItem="6"/>
    <dataField name=" Carbon stocks density of shrubs (t CO2e ha-1)" fld="25" baseField="2" baseItem="6" numFmtId="165"/>
    <dataField name=" Carbon stocks density of dead wood (t CO2e ha-1)" fld="26" baseField="2" baseItem="6"/>
    <dataField name="  Carbon stocks density of litter (t CO2e ha-1)" fld="27" baseField="2" baseItem="6"/>
    <dataField name="Sum of Stratum area (ha)" fld="13" baseField="0" baseItem="0"/>
  </dataFields>
  <formats count="2">
    <format dxfId="76">
      <pivotArea outline="0" collapsedLevelsAreSubtotals="1" fieldPosition="0"/>
    </format>
    <format dxfId="75">
      <pivotArea outline="0" collapsedLevelsAreSubtotals="1" fieldPosition="0">
        <references count="1">
          <reference field="4294967294" count="1" selected="0">
            <x v="3"/>
          </reference>
        </references>
      </pivotArea>
    </format>
  </formats>
  <pivotTableStyleInfo name="PivotStyleMedium9" showRowHeaders="1" showColHeaders="1" showRowStripes="0" showColStripes="0" showLastColumn="1"/>
  <extLst>
    <ext xmlns:x14="http://schemas.microsoft.com/office/spreadsheetml/2009/9/main" uri="{962EF5D1-5CA2-4c93-8EF4-DBF5C05439D2}">
      <x14:pivotTableDefinition xmlns:xm="http://schemas.microsoft.com/office/excel/2006/main" fillDownLabelsDefault="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1000-000000000000}" name="PivotTable1" cacheId="1" applyNumberFormats="0" applyBorderFormats="0" applyFontFormats="0" applyPatternFormats="0" applyAlignmentFormats="0" applyWidthHeightFormats="1" dataCaption="Values" showError="1" updatedVersion="6" minRefreshableVersion="3" useAutoFormatting="1" itemPrintTitles="1" createdVersion="4" indent="0" compact="0" compactData="0" gridDropZones="1" multipleFieldFilters="0">
  <location ref="A4:G35" firstHeaderRow="1" firstDataRow="2" firstDataCol="2"/>
  <pivotFields count="23">
    <pivotField axis="axisRow" compact="0" outline="0" showAll="0" defaultSubtotal="0">
      <items count="57">
        <item x="0"/>
        <item x="1"/>
        <item x="2"/>
        <item x="3"/>
        <item x="4"/>
        <item x="5"/>
        <item x="6"/>
        <item x="7"/>
        <item x="8"/>
        <item m="1" x="28"/>
        <item m="1" x="56"/>
        <item m="1" x="37"/>
        <item m="1" x="20"/>
        <item m="1" x="49"/>
        <item m="1" x="33"/>
        <item m="1" x="13"/>
        <item m="1" x="38"/>
        <item m="1" x="23"/>
        <item m="1" x="40"/>
        <item m="1" x="54"/>
        <item m="1" x="24"/>
        <item m="1" x="35"/>
        <item m="1" x="41"/>
        <item x="9"/>
        <item m="1" x="45"/>
        <item m="1" x="51"/>
        <item m="1" x="55"/>
        <item m="1" x="14"/>
        <item m="1" x="18"/>
        <item m="1" x="25"/>
        <item m="1" x="27"/>
        <item m="1" x="29"/>
        <item m="1" x="32"/>
        <item m="1" x="31"/>
        <item m="1" x="12"/>
        <item m="1" x="42"/>
        <item m="1" x="21"/>
        <item m="1" x="50"/>
        <item m="1" x="43"/>
        <item m="1" x="34"/>
        <item m="1" x="22"/>
        <item m="1" x="15"/>
        <item m="1" x="16"/>
        <item m="1" x="10"/>
        <item m="1" x="52"/>
        <item m="1" x="47"/>
        <item m="1" x="44"/>
        <item m="1" x="39"/>
        <item m="1" x="36"/>
        <item m="1" x="30"/>
        <item m="1" x="26"/>
        <item m="1" x="19"/>
        <item m="1" x="17"/>
        <item m="1" x="11"/>
        <item m="1" x="53"/>
        <item m="1" x="48"/>
        <item m="1" x="46"/>
      </items>
      <extLst>
        <ext xmlns:x14="http://schemas.microsoft.com/office/spreadsheetml/2009/9/main" uri="{2946ED86-A175-432a-8AC1-64E0C546D7DE}">
          <x14:pivotField fillDownLabels="1"/>
        </ext>
      </extLst>
    </pivotField>
    <pivotField compact="0" outline="0" showAll="0">
      <items count="4">
        <item m="1" x="2"/>
        <item x="0"/>
        <item m="1" x="1"/>
        <item t="default"/>
      </items>
    </pivotField>
    <pivotField compact="0" outline="0" showAll="0"/>
    <pivotField dataField="1" compact="0" outline="0" showAll="0"/>
    <pivotField compact="0" outline="0" showAll="0"/>
    <pivotField compact="0" outline="0" showAll="0"/>
    <pivotField compact="0" outline="0" showAll="0"/>
    <pivotField compact="0" outline="0" showAll="0"/>
    <pivotField compact="0" outline="0" showAll="0"/>
    <pivotField dataField="1" compact="0" outline="0" showAll="0"/>
    <pivotField dataField="1" compact="0" outline="0" showAll="0"/>
    <pivotField dataField="1" compact="0" outline="0" showAll="0"/>
    <pivotField dataField="1"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axis="axisRow" compact="0" outline="0" showAll="0">
      <items count="52">
        <item m="1" x="2"/>
        <item m="1" x="46"/>
        <item m="1" x="47"/>
        <item m="1" x="21"/>
        <item m="1" x="22"/>
        <item m="1" x="26"/>
        <item x="0"/>
        <item m="1" x="3"/>
        <item m="1" x="17"/>
        <item m="1" x="44"/>
        <item m="1" x="12"/>
        <item m="1" x="20"/>
        <item m="1" x="16"/>
        <item m="1" x="8"/>
        <item m="1" x="24"/>
        <item m="1" x="5"/>
        <item m="1" x="40"/>
        <item m="1" x="41"/>
        <item m="1" x="38"/>
        <item m="1" x="6"/>
        <item m="1" x="39"/>
        <item m="1" x="18"/>
        <item m="1" x="48"/>
        <item m="1" x="23"/>
        <item m="1" x="35"/>
        <item m="1" x="45"/>
        <item m="1" x="36"/>
        <item m="1" x="42"/>
        <item m="1" x="13"/>
        <item m="1" x="19"/>
        <item m="1" x="32"/>
        <item m="1" x="34"/>
        <item m="1" x="28"/>
        <item m="1" x="50"/>
        <item m="1" x="7"/>
        <item m="1" x="30"/>
        <item m="1" x="10"/>
        <item m="1" x="27"/>
        <item m="1" x="49"/>
        <item m="1" x="11"/>
        <item m="1" x="15"/>
        <item m="1" x="33"/>
        <item m="1" x="29"/>
        <item x="1"/>
        <item m="1" x="37"/>
        <item m="1" x="4"/>
        <item f="1" x="31"/>
        <item m="1" x="43"/>
        <item m="1" x="9"/>
        <item m="1" x="14"/>
        <item m="1" x="25"/>
        <item t="default"/>
      </items>
    </pivotField>
  </pivotFields>
  <rowFields count="2">
    <field x="0"/>
    <field x="22"/>
  </rowFields>
  <rowItems count="30">
    <i>
      <x/>
      <x v="6"/>
    </i>
    <i r="1">
      <x v="46"/>
    </i>
    <i>
      <x v="1"/>
      <x v="6"/>
    </i>
    <i r="1">
      <x v="43"/>
    </i>
    <i r="1">
      <x v="46"/>
    </i>
    <i>
      <x v="2"/>
      <x v="6"/>
    </i>
    <i r="1">
      <x v="43"/>
    </i>
    <i r="1">
      <x v="46"/>
    </i>
    <i>
      <x v="3"/>
      <x v="6"/>
    </i>
    <i r="1">
      <x v="43"/>
    </i>
    <i r="1">
      <x v="46"/>
    </i>
    <i>
      <x v="4"/>
      <x v="6"/>
    </i>
    <i r="1">
      <x v="43"/>
    </i>
    <i r="1">
      <x v="46"/>
    </i>
    <i>
      <x v="5"/>
      <x v="6"/>
    </i>
    <i r="1">
      <x v="43"/>
    </i>
    <i r="1">
      <x v="46"/>
    </i>
    <i>
      <x v="6"/>
      <x v="6"/>
    </i>
    <i r="1">
      <x v="43"/>
    </i>
    <i r="1">
      <x v="46"/>
    </i>
    <i>
      <x v="7"/>
      <x v="6"/>
    </i>
    <i r="1">
      <x v="43"/>
    </i>
    <i r="1">
      <x v="46"/>
    </i>
    <i>
      <x v="8"/>
      <x v="6"/>
    </i>
    <i r="1">
      <x v="43"/>
    </i>
    <i r="1">
      <x v="46"/>
    </i>
    <i>
      <x v="23"/>
      <x v="6"/>
    </i>
    <i r="1">
      <x v="43"/>
    </i>
    <i r="1">
      <x v="46"/>
    </i>
    <i t="grand">
      <x/>
    </i>
  </rowItems>
  <colFields count="1">
    <field x="-2"/>
  </colFields>
  <colItems count="5">
    <i>
      <x/>
    </i>
    <i i="1">
      <x v="1"/>
    </i>
    <i i="2">
      <x v="2"/>
    </i>
    <i i="3">
      <x v="3"/>
    </i>
    <i i="4">
      <x v="4"/>
    </i>
  </colItems>
  <dataFields count="5">
    <dataField name="Sum of Carbon stocks trees (tCO2e)" fld="9" baseField="0" baseItem="0"/>
    <dataField name="Sum of Carbon stocks shrubs (tCO2e)" fld="10" baseField="0" baseItem="0"/>
    <dataField name="Sum of Carbon stocks dead wood (tCO2e)" fld="11" baseField="0" baseItem="0"/>
    <dataField name="Sum of Carbon stocks litter (tCO2e)" fld="12" baseField="0" baseItem="0"/>
    <dataField name="Sum of Stratum area (ha)" fld="3" baseField="0" baseItem="0"/>
  </dataFields>
  <pivotTableStyleInfo name="PivotStyleMedium9" showRowHeaders="1" showColHeaders="1" showRowStripes="0" showColStripes="0" showLastColumn="1"/>
  <extLs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species_tbl" displayName="species_tbl" ref="B17:E20" totalsRowShown="0" dataDxfId="165" headerRowBorderDxfId="166" tableBorderDxfId="164">
  <autoFilter ref="B17:E20" xr:uid="{00000000-0009-0000-0100-000001000000}"/>
  <tableColumns count="4">
    <tableColumn id="1" xr3:uid="{00000000-0010-0000-0000-000001000000}" name="Species or group of species_x000a_(dimensionless)" dataDxfId="163"/>
    <tableColumn id="2" xr3:uid="{00000000-0010-0000-0000-000002000000}" name="Wood density _x000a_(t d.m. /m-3)" dataDxfId="162"/>
    <tableColumn id="3" xr3:uid="{00000000-0010-0000-0000-000003000000}" name="Carbon fraction_x000a_Default value = 0.47_x000a_(dimensionless)" dataDxfId="161"/>
    <tableColumn id="4" xr3:uid="{00000000-0010-0000-0000-000004000000}" name="Biomass expansion factor_x000a_(dimensionless)" dataDxfId="160"/>
  </tableColumns>
  <tableStyleInfo name="TableStyleLight2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strata_tbl" displayName="strata_tbl" ref="B15:H18" totalsRowShown="0" headerRowDxfId="159">
  <autoFilter ref="B15:H18" xr:uid="{00000000-0009-0000-0100-000002000000}"/>
  <tableColumns count="7">
    <tableColumn id="1" xr3:uid="{00000000-0010-0000-0100-000001000000}" name="Stratum" dataDxfId="158"/>
    <tableColumn id="2" xr3:uid="{00000000-0010-0000-0100-000002000000}" name="Area within FMU (ha)" dataDxfId="157"/>
    <tableColumn id="3" xr3:uid="{00000000-0010-0000-0100-000003000000}" name="Elevation" dataDxfId="156"/>
    <tableColumn id="4" xr3:uid="{00000000-0010-0000-0100-000004000000}" name="Precipitation" dataDxfId="155"/>
    <tableColumn id="5" xr3:uid="{00000000-0010-0000-0100-000005000000}" name="Biome" dataDxfId="154">
      <calculatedColumnFormula>IF(OR(Accuracy!$E$11="Yes",Accuracy!$E$13="Yes"),IF(B16&lt;&gt;"",$Q$15,""),"")</calculatedColumnFormula>
    </tableColumn>
    <tableColumn id="6" xr3:uid="{00000000-0010-0000-0100-000006000000}" name="Default dead wood" dataDxfId="153">
      <calculatedColumnFormula>IF(B16&lt;&gt;"",IF(Accuracy!$E$11="Yes",IF(F16="Temperate/Boreal",0.08,IF(D16="&gt; 2000m",0.07,IF(E16="&lt; 1000 mm/yr",0.02,IF(E16="&gt; 1600 mm/yr", 0.06,IF(E16="1000-1600 mm/yr",0.01,0))))),0),"")</calculatedColumnFormula>
    </tableColumn>
    <tableColumn id="7" xr3:uid="{00000000-0010-0000-0100-000007000000}" name="Default litter" dataDxfId="152">
      <calculatedColumnFormula>IF(B16&lt;&gt;"",IF(Accuracy!$E$13="Yes",IF(F16="Temperate/Boreal",0.04,IF(D16="&gt; 2000m",0.01,IF(E16="&lt; 1000 mm/yr",0.04,IF(E16="&gt; 1600 mm/yr", 0.01,IF(E16="1000-1600 mm/yr",0.01,0))))),0),"")</calculatedColumnFormula>
    </tableColumn>
  </tableColumns>
  <tableStyleInfo name="TableStyleMedium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2000000}" name="management_tbl" displayName="management_tbl" ref="B26:G40" totalsRowShown="0" headerRowDxfId="151" dataDxfId="150">
  <autoFilter ref="B26:G40" xr:uid="{00000000-0009-0000-0100-000005000000}"/>
  <tableColumns count="6">
    <tableColumn id="1" xr3:uid="{00000000-0010-0000-0200-000001000000}" name="Stratum" dataDxfId="149"/>
    <tableColumn id="2" xr3:uid="{00000000-0010-0000-0200-000002000000}" name="Name of fertilizer" dataDxfId="148"/>
    <tableColumn id="3" xr3:uid="{00000000-0010-0000-0200-000003000000}" name="Organic or inorganic" dataDxfId="147"/>
    <tableColumn id="4" xr3:uid="{00000000-0010-0000-0200-000004000000}" name="Nitrogen content (%)" dataDxfId="146"/>
    <tableColumn id="5" xr3:uid="{00000000-0010-0000-0200-000005000000}" name="Total application rate of fertilizer per stratum per ha" dataDxfId="145"/>
    <tableColumn id="6" xr3:uid="{00000000-0010-0000-0200-000006000000}" name="Units - select" dataDxfId="144"/>
  </tableColumns>
  <tableStyleInfo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3000000}" name="management_formula_tbl" displayName="management_formula_tbl" ref="T23:AF32" totalsRowShown="0" headerRowDxfId="143" dataDxfId="142">
  <tableColumns count="13">
    <tableColumn id="1" xr3:uid="{00000000-0010-0000-0300-000001000000}" name="Stratum" dataDxfId="141">
      <calculatedColumnFormula>IF(INDIRECT("$B"&amp;ROW()+3)&lt;&gt;"",INDIRECT("$B"&amp;ROW()+3),"")</calculatedColumnFormula>
    </tableColumn>
    <tableColumn id="2" xr3:uid="{00000000-0010-0000-0300-000002000000}" name="Org/Inorg" dataDxfId="140">
      <calculatedColumnFormula>IF(INDIRECT("$B"&amp;ROW()+3)&lt;&gt;"",INDIRECT("$D"&amp;ROW()+3),"")</calculatedColumnFormula>
    </tableColumn>
    <tableColumn id="3" xr3:uid="{00000000-0010-0000-0300-000003000000}" name="% N" dataDxfId="139">
      <calculatedColumnFormula>IF(INDIRECT("$B"&amp;ROW()+3)&lt;&gt;"",INDIRECT("$E"&amp;ROW()+3),"")</calculatedColumnFormula>
    </tableColumn>
    <tableColumn id="4" xr3:uid="{00000000-0010-0000-0300-000004000000}" name="Kg" dataDxfId="138">
      <calculatedColumnFormula>IF(INDIRECT("$B"&amp;ROW()+3)&lt;&gt;"",IF(INDIRECT("$G"&amp;ROW()+3)="kg",INDIRECT("$F"&amp;ROW()+3),IF(INDIRECT("$G"&amp;ROW()+3)="pounds",INDIRECT("$F"&amp;ROW()+3)/2.2046,IF(INDIRECT("$G"&amp;ROW()+3)="tons",INDIRECT("$F"&amp;ROW()+3)*1000,""))),"")</calculatedColumnFormula>
    </tableColumn>
    <tableColumn id="5" xr3:uid="{00000000-0010-0000-0300-000005000000}" name="%N * Kg" dataDxfId="137">
      <calculatedColumnFormula>IF(INDIRECT("$B"&amp;ROW()+3)&lt;&gt;"",V24*W24,"")</calculatedColumnFormula>
    </tableColumn>
    <tableColumn id="6" xr3:uid="{00000000-0010-0000-0300-000006000000}" name="Area" dataDxfId="136">
      <calculatedColumnFormula>IF(INDIRECT("Strata!C"&amp;ROW()-7)&lt;&gt;"",INDIRECT("Strata!C"&amp;ROW()-7),"")</calculatedColumnFormula>
    </tableColumn>
    <tableColumn id="7" xr3:uid="{00000000-0010-0000-0300-000007000000}" name="Sumatory of %N*kg" dataDxfId="135">
      <calculatedColumnFormula>IF(T24&lt;&gt;"",IFERROR(SUMIFS(X:X,T:T,T24,U:U,"Inorganic"),0),"")</calculatedColumnFormula>
    </tableColumn>
    <tableColumn id="8" xr3:uid="{00000000-0010-0000-0300-000008000000}" name="Emissions: Synthetic Fertilizer per t yr and ha" dataDxfId="134">
      <calculatedColumnFormula>IF(T24&lt;&gt;"",Z24*$R$20*$R$21*$R$22*$R$23/1000,"")</calculatedColumnFormula>
    </tableColumn>
    <tableColumn id="9" xr3:uid="{00000000-0010-0000-0300-000009000000}" name="Sum Emissions Stratum: Synthetic Fertilizer t per yr " dataDxfId="133">
      <calculatedColumnFormula>IF(T24&lt;&gt;"",AA24*Y24,"")</calculatedColumnFormula>
    </tableColumn>
    <tableColumn id="10" xr3:uid="{00000000-0010-0000-0300-00000A000000}" name="Sumatory of %N*kg (org)" dataDxfId="132">
      <calculatedColumnFormula>IF(T24&lt;&gt;"",IFERROR(SUMIFS(X:X,T:T,T24,U:U,"Organic"),0),"")</calculatedColumnFormula>
    </tableColumn>
    <tableColumn id="11" xr3:uid="{00000000-0010-0000-0300-00000B000000}" name="Emissions Organic Fertilizer per t yr and ha" dataDxfId="131">
      <calculatedColumnFormula>IF(T24&lt;&gt;"",AC24*$R$20*$R$21*$R$22*$R$24/1000,"")</calculatedColumnFormula>
    </tableColumn>
    <tableColumn id="12" xr3:uid="{00000000-0010-0000-0300-00000C000000}" name="Sum Emissions Stratum: Emissions Organic Fertilizer t per year" dataDxfId="130">
      <calculatedColumnFormula>IF(T24&lt;&gt;"",AD24*Y24,"")</calculatedColumnFormula>
    </tableColumn>
    <tableColumn id="13" xr3:uid="{00000000-0010-0000-0300-00000D000000}" name="Column1" dataDxfId="129"/>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hwp_tbl" displayName="hwp_tbl" ref="B14:K18" totalsRowShown="0" headerRowDxfId="128" dataDxfId="127">
  <autoFilter ref="B14:K18" xr:uid="{00000000-0009-0000-0100-000006000000}"/>
  <tableColumns count="10">
    <tableColumn id="1" xr3:uid="{00000000-0010-0000-0400-000001000000}" name="Species" dataDxfId="126" totalsRowDxfId="125"/>
    <tableColumn id="2" xr3:uid="{00000000-0010-0000-0400-000002000000}" name="Wood product classification" dataDxfId="124" totalsRowDxfId="123"/>
    <tableColumn id="3" xr3:uid="{00000000-0010-0000-0400-000003000000}" name="Total timber extraction rate (m3/year)" dataDxfId="122" totalsRowDxfId="121"/>
    <tableColumn id="4" xr3:uid="{00000000-0010-0000-0400-000004000000}" name="Carbon fraction_x000a_(dimensionless)" dataDxfId="120" totalsRowDxfId="119">
      <calculatedColumnFormula>IF(B15&lt;&gt;"",VLOOKUP(B15,species_tbl[],3,FALSE),"")</calculatedColumnFormula>
    </tableColumn>
    <tableColumn id="5" xr3:uid="{00000000-0010-0000-0400-000005000000}" name="Wood Density _x000a_(t d.m. m-3)" dataDxfId="118" totalsRowDxfId="117">
      <calculatedColumnFormula>IF(B15&lt;&gt;"",VLOOKUP(B15,species_tbl[],2,FALSE),"")</calculatedColumnFormula>
    </tableColumn>
    <tableColumn id="6" xr3:uid="{00000000-0010-0000-0400-000006000000}" name="Wood waste" dataDxfId="116" totalsRowDxfId="115">
      <calculatedColumnFormula>IF(B15&lt;&gt;"",VLOOKUP('General Data'!$D$17,'General Data'!AF21:AH246,3,FALSE),"")</calculatedColumnFormula>
    </tableColumn>
    <tableColumn id="7" xr3:uid="{00000000-0010-0000-0400-000007000000}" name="CxB,ty,t" dataDxfId="114" totalsRowDxfId="113">
      <calculatedColumnFormula>IF(B15&lt;&gt;"",D15*E15*F15,"")</calculatedColumnFormula>
    </tableColumn>
    <tableColumn id="8" xr3:uid="{00000000-0010-0000-0400-000008000000}" name="SLF" dataDxfId="112" totalsRowDxfId="111">
      <calculatedColumnFormula>IF(C15="Sawnwood",(H15-G15)*0.2,IF(C15="Wood-based panels",(H15-G15)*0.1,IF(C15="Other industrial round wood",(H15-G15)*0.3,IF(C15="Paper and paper board",(H15-G15)*0.4,IF(C15="Other",(H15-G15),"")))))</calculatedColumnFormula>
    </tableColumn>
    <tableColumn id="9" xr3:uid="{00000000-0010-0000-0400-000009000000}" name="OF" dataDxfId="110" totalsRowDxfId="109">
      <calculatedColumnFormula>IF(B15&lt;&gt;"",((H15-G15)-I15)*INDEX($O$13:$Q$17,MATCH(C15,$N$13:$N$17,0),MATCH($O$9,$O$10:$Q$10,0)),"")</calculatedColumnFormula>
    </tableColumn>
    <tableColumn id="10" xr3:uid="{00000000-0010-0000-0400-00000A000000}" name="Carbon stock sequestered in wood products (tCO2e)" dataDxfId="108" totalsRowDxfId="107">
      <calculatedColumnFormula>IF(C15&lt;&gt;"",(H15-G15-I15-J15)*44/12,"")</calculatedColumnFormula>
    </tableColumn>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5000000}" name="inventory_data_tbl" displayName="inventory_data_tbl" ref="B19:AC22" totalsRowShown="0" headerRowDxfId="106" dataDxfId="105">
  <tableColumns count="28">
    <tableColumn id="1" xr3:uid="{00000000-0010-0000-0500-000001000000}" name="conc" dataDxfId="104">
      <calculatedColumnFormula>IF(D20&lt;&gt;"",CONCATENATE(D20,"-",E20),"")</calculatedColumnFormula>
    </tableColumn>
    <tableColumn id="2" xr3:uid="{00000000-0010-0000-0500-000002000000}" name="Year" dataDxfId="103"/>
    <tableColumn id="3" xr3:uid="{00000000-0010-0000-0500-000003000000}" name="Stratum" dataDxfId="102"/>
    <tableColumn id="4" xr3:uid="{00000000-0010-0000-0500-000004000000}" name="Species" dataDxfId="101"/>
    <tableColumn id="5" xr3:uid="{00000000-0010-0000-0500-000005000000}" name="Standing volume (m³/ha)" dataDxfId="100"/>
    <tableColumn id="6" xr3:uid="{00000000-0010-0000-0500-000006000000}" name="Column1" dataDxfId="99"/>
    <tableColumn id="7" xr3:uid="{00000000-0010-0000-0500-000007000000}" name="Age at year of inventory " dataDxfId="98"/>
    <tableColumn id="8" xr3:uid="{00000000-0010-0000-0500-000008000000}" name="Column2" dataDxfId="97"/>
    <tableColumn id="9" xr3:uid="{00000000-0010-0000-0500-000009000000}" name="Column3" dataDxfId="96"/>
    <tableColumn id="10" xr3:uid="{00000000-0010-0000-0500-00000A000000}" name="Column4" dataDxfId="95"/>
    <tableColumn id="11" xr3:uid="{00000000-0010-0000-0500-00000B000000}" name="Column5" dataDxfId="94"/>
    <tableColumn id="12" xr3:uid="{00000000-0010-0000-0500-00000C000000}" name="Column6" dataDxfId="93"/>
    <tableColumn id="13" xr3:uid="{00000000-0010-0000-0500-00000D000000}" name="," dataDxfId="92"/>
    <tableColumn id="14" xr3:uid="{00000000-0010-0000-0500-00000E000000}" name="Stratum area (ha)" dataDxfId="91">
      <calculatedColumnFormula>IF(D20&lt;&gt;"",VLOOKUP(D20,strata_tbl[],2,FALSE),"")</calculatedColumnFormula>
    </tableColumn>
    <tableColumn id="15" xr3:uid="{00000000-0010-0000-0500-00000F000000}" name="CF trees" dataDxfId="90">
      <calculatedColumnFormula>IF(D20&lt;&gt;"",VLOOKUP(E20,species_tbl[],3,FALSE),"")</calculatedColumnFormula>
    </tableColumn>
    <tableColumn id="16" xr3:uid="{00000000-0010-0000-0500-000010000000}" name="Crown cover " dataDxfId="89">
      <calculatedColumnFormula>IF(C20&lt;&gt;"",Species!$I$21,"")</calculatedColumnFormula>
    </tableColumn>
    <tableColumn id="17" xr3:uid="{00000000-0010-0000-0500-000011000000}" name="BDRsf" dataDxfId="88">
      <calculatedColumnFormula>IF(D20&lt;&gt;"",Species!$I$20,"")</calculatedColumnFormula>
    </tableColumn>
    <tableColumn id="18" xr3:uid="{00000000-0010-0000-0500-000012000000}" name="bforest" dataDxfId="87">
      <calculatedColumnFormula>IF(D20&lt;&gt;"",'General Data'!$J$19,"")</calculatedColumnFormula>
    </tableColumn>
    <tableColumn id="19" xr3:uid="{00000000-0010-0000-0500-000013000000}" name="wi" dataDxfId="86">
      <calculatedColumnFormula>IF(D20&lt;&gt;"",Inventory_data!$O20/'General Data'!$J$15,"")</calculatedColumnFormula>
    </tableColumn>
    <tableColumn id="20" xr3:uid="{00000000-0010-0000-0500-000014000000}" name="Density" dataDxfId="85">
      <calculatedColumnFormula>IF(D20&lt;&gt;"",VLOOKUP(TRIM($E20),species_tbl[],2,FALSE),"")</calculatedColumnFormula>
    </tableColumn>
    <tableColumn id="21" xr3:uid="{00000000-0010-0000-0500-000015000000}" name="BEF" dataDxfId="84">
      <calculatedColumnFormula>IF(D20&lt;&gt;"",VLOOKUP(TRIM($E20),species_tbl[],4,FALSE),"")</calculatedColumnFormula>
    </tableColumn>
    <tableColumn id="22" xr3:uid="{00000000-0010-0000-0500-000016000000}" name="BEF*Density*Volume" dataDxfId="83">
      <calculatedColumnFormula>IF(D20&lt;&gt;"",Inventory_data!$U20*Inventory_data!$V20*Inventory_data!$F20,"")</calculatedColumnFormula>
    </tableColumn>
    <tableColumn id="23" xr3:uid="{00000000-0010-0000-0500-000017000000}" name="Rj" dataDxfId="82">
      <calculatedColumnFormula>IF(D20&lt;&gt;"",IF(W20&lt;&gt;0,EXP(-1.085+0.9256*LN(W20))/(W20),0),"")</calculatedColumnFormula>
    </tableColumn>
    <tableColumn id="24" xr3:uid="{00000000-0010-0000-0500-000018000000}" name="CF shrubs" dataDxfId="81">
      <calculatedColumnFormula>IF(D20&lt;&gt;"",Species!$I$18,"")</calculatedColumnFormula>
    </tableColumn>
    <tableColumn id="25" xr3:uid="{00000000-0010-0000-0500-000019000000}" name="Carbon stocks trees per stratum (t CO2e)" dataDxfId="80">
      <calculatedColumnFormula>IF(D20&lt;&gt;"",((44/12)*(1+X20)*P20*F20*U20*V20),"")</calculatedColumnFormula>
    </tableColumn>
    <tableColumn id="26" xr3:uid="{00000000-0010-0000-0500-00001A000000}" name="Carbon stocks shrubs per stratum (t CO2e)" dataDxfId="79">
      <calculatedColumnFormula>IF(D20&lt;&gt;"",(44/12)*Y20*Q20*R20*S20,"")</calculatedColumnFormula>
    </tableColumn>
    <tableColumn id="27" xr3:uid="{00000000-0010-0000-0500-00001B000000}" name="Carbon stocks dead wood per stratum (t CO2e)" dataDxfId="78">
      <calculatedColumnFormula>IF(D20&lt;&gt;"",(VLOOKUP($D20,strata_tbl[],6,FALSE))*Inventory_data!$Z20,"")</calculatedColumnFormula>
    </tableColumn>
    <tableColumn id="28" xr3:uid="{00000000-0010-0000-0500-00001C000000}" name="Carbon stocks litter per stratum (t CO2e)" dataDxfId="77">
      <calculatedColumnFormula>IF(D20&lt;&gt;"",(VLOOKUP($D20,strata_tbl[],7,FALSE))*Inventory_data!$Z20,"")</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6000000}" name="results_tbl" displayName="results_tbl" ref="C55:I58" totalsRowShown="0" headerRowDxfId="73" dataDxfId="71" headerRowBorderDxfId="72" tableBorderDxfId="70">
  <autoFilter ref="C55:I58" xr:uid="{00000000-0009-0000-0100-000004000000}"/>
  <tableColumns count="7">
    <tableColumn id="1" xr3:uid="{00000000-0010-0000-0600-000001000000}" name="Stratum" dataDxfId="69"/>
    <tableColumn id="2" xr3:uid="{00000000-0010-0000-0600-000002000000}" name="Carbon stocks density of trees (tCO2e/ha)" dataDxfId="68">
      <calculatedColumnFormula>IFERROR(IF(C56="Test","",GETPIVOTDATA(" Carbon stocks density of trees (t CO2e ha-1)",Int_calc3!$A$4,"Year",$D$54,"Stratum",results_tbl[[#This Row],[Stratum]])),"")</calculatedColumnFormula>
    </tableColumn>
    <tableColumn id="3" xr3:uid="{00000000-0010-0000-0600-000003000000}" name="Carbon stocks density of shrubs (tCO2e/ha)" dataDxfId="67">
      <calculatedColumnFormula>IFERROR(IF(C56="Test","",GETPIVOTDATA(" Carbon stocks density of shrubs (t CO2e ha-1)",Int_calc3!$A$4,"Year",$D$54,"Stratum",results_tbl[[#This Row],[Stratum]])),"")</calculatedColumnFormula>
    </tableColumn>
    <tableColumn id="4" xr3:uid="{00000000-0010-0000-0600-000004000000}" name="Carbon stocks density of dead wood (tCO2e/ha)" dataDxfId="66">
      <calculatedColumnFormula>IFERROR(IF(C56="Test","",GETPIVOTDATA(" Carbon stocks density of dead wood (t CO2e ha-1)",Int_calc3!$A$4,"Year",$D$54,"Stratum",results_tbl[[#This Row],[Stratum]])),"")</calculatedColumnFormula>
    </tableColumn>
    <tableColumn id="5" xr3:uid="{00000000-0010-0000-0600-000005000000}" name="Carbon stocks density of litter (tCO2e/ha)" dataDxfId="65">
      <calculatedColumnFormula>IFERROR(IF(C56="Test","",GETPIVOTDATA("  Carbon stocks density of litter (t CO2e ha-1)",Int_calc3!$A$4,"Year",$D$54,"Stratum",results_tbl[[#This Row],[Stratum]])),"")</calculatedColumnFormula>
    </tableColumn>
    <tableColumn id="6" xr3:uid="{00000000-0010-0000-0600-000006000000}" name="Area per stratum (ha)" dataDxfId="64">
      <calculatedColumnFormula>IFERROR(IF(C56="Test","",GETPIVOTDATA("Sum of Stratum area (ha)",Int_calc3!$A$4,"Year",$D$54,"Stratum",results_tbl[[#This Row],[Stratum]])),"")</calculatedColumnFormula>
    </tableColumn>
    <tableColumn id="7" xr3:uid="{00000000-0010-0000-0600-000007000000}" name="Total carbon stocks (tCO2e)" dataDxfId="63">
      <calculatedColumnFormula>IF(H56&lt;&gt;"",H56*(SUM(D56:G58)),"")</calculatedColumnFormula>
    </tableColumn>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7000000}" name="models_tbl10" displayName="models_tbl10" ref="C15:G20" totalsRowShown="0" dataDxfId="62">
  <autoFilter ref="C15:G20" xr:uid="{00000000-0009-0000-0100-000009000000}"/>
  <tableColumns count="5">
    <tableColumn id="1" xr3:uid="{00000000-0010-0000-0700-000001000000}" name="Model number" dataDxfId="61"/>
    <tableColumn id="2" xr3:uid="{00000000-0010-0000-0700-000002000000}" name="Stratum" dataDxfId="60"/>
    <tableColumn id="3" xr3:uid="{00000000-0010-0000-0700-000003000000}" name="Species" dataDxfId="59"/>
    <tableColumn id="4" xr3:uid="{00000000-0010-0000-0700-000004000000}" name="Rotation period" dataDxfId="58"/>
    <tableColumn id="5" xr3:uid="{00000000-0010-0000-0700-000005000000}" name="Column1" dataDxfId="57">
      <calculatedColumnFormula array="1">IF(C16&lt;&gt;"",IFERROR(INDEX(Inventory_data!$O$20:$O$22,MATCH(D16&amp;E16,(Inventory_data!$D$20:$D$22&amp;Inventory_data!$E$20:$E$22),0)),""),"")</calculatedColumnFormula>
    </tableColumn>
  </tableColumns>
  <tableStyleInfo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8000000}" name="Forest_data" displayName="Forest_data" ref="A15:G20" totalsRowShown="0" headerRowDxfId="56" dataDxfId="55">
  <tableColumns count="7">
    <tableColumn id="1" xr3:uid="{00000000-0010-0000-0800-000001000000}" name="Age" dataDxfId="54"/>
    <tableColumn id="2" xr3:uid="{00000000-0010-0000-0800-000002000000}" name="Number of trees per ha" dataDxfId="53"/>
    <tableColumn id="3" xr3:uid="{00000000-0010-0000-0800-000003000000}" name="Height (m)" dataDxfId="52"/>
    <tableColumn id="4" xr3:uid="{00000000-0010-0000-0800-000004000000}" name="Mean diameter at breast height (DBH) (cm)" dataDxfId="51"/>
    <tableColumn id="5" xr3:uid="{00000000-0010-0000-0800-000005000000}" name="Basal area (m²/ha)" dataDxfId="50">
      <calculatedColumnFormula>(Forest_data[[#This Row],[Mean diameter at breast height (DBH) (cm)]]/200)^2*PI()*Forest_data[[#This Row],[Number of trees per ha]]</calculatedColumnFormula>
    </tableColumn>
    <tableColumn id="6" xr3:uid="{00000000-0010-0000-0800-000006000000}" name="Standing volume (m³/ha)" dataDxfId="49">
      <calculatedColumnFormula>Forest_data[[#This Row],[Basal area (m²/ha)]]*Forest_data[[#This Row],[Height (m)]]*Forest_data[[#This Row],[Form factor ]]</calculatedColumnFormula>
    </tableColumn>
    <tableColumn id="7" xr3:uid="{00000000-0010-0000-0800-000007000000}" name="Form factor " dataDxfId="48"/>
  </tableColumns>
  <tableStyleInfo name="TableStyleMedium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inv_simulation" displayName="inv_simulation" ref="B10:X37" totalsRowShown="0" headerRowDxfId="47" dataDxfId="46">
  <autoFilter ref="B10:X37" xr:uid="{00000000-0009-0000-0100-00000A000000}">
    <filterColumn colId="1">
      <filters>
        <filter val="2015"/>
      </filters>
    </filterColumn>
  </autoFilter>
  <tableColumns count="23">
    <tableColumn id="1" xr3:uid="{00000000-0010-0000-0900-000001000000}" name="Year" dataDxfId="45">
      <calculatedColumnFormula>IF(ISERROR(Simulation_assumptions!$D$19),"",IF(ROW(D11)&gt;Inventory_data!$AL$17*Simulation_assumptions!$D$19+10,"",OFFSET(Simulation_assumptions!$K$7,AH11,0)))</calculatedColumnFormula>
    </tableColumn>
    <tableColumn id="2" xr3:uid="{00000000-0010-0000-0900-000002000000}" name="Year of start" dataDxfId="44">
      <calculatedColumnFormula>IF(ISERROR(Simulation_assumptions!$D$19),"",IF(ROW(C11)&gt;Inventory_data!$AL$17*Simulation_assumptions!$D$19+10,"",OFFSET(Inventory_data!$C$19,ROW(C11)-10-Inventory_data!$AL$17*INT((ROW(C11)-11)/Inventory_data!$AL$17),0,1,1)))</calculatedColumnFormula>
    </tableColumn>
    <tableColumn id="3" xr3:uid="{00000000-0010-0000-0900-000003000000}" name="Stratum" dataDxfId="43">
      <calculatedColumnFormula>IF(ISERROR(Simulation_assumptions!$D$19),"",IF(ROW(D11)&gt;Inventory_data!$AL$17*Simulation_assumptions!$D$19+10,"",OFFSET(Inventory_data!$D$19,ROW(D11)-10-Inventory_data!$AL$17*INT((ROW(D11)-11)/Inventory_data!$AL$17),0,1,1)))</calculatedColumnFormula>
    </tableColumn>
    <tableColumn id="4" xr3:uid="{00000000-0010-0000-0900-000004000000}" name="Stratum area (ha)" dataDxfId="42">
      <calculatedColumnFormula>IF(D11&lt;&gt;"",VLOOKUP(D11,strata_tbl[],2,FALSE),"")</calculatedColumnFormula>
    </tableColumn>
    <tableColumn id="5" xr3:uid="{00000000-0010-0000-0900-000005000000}" name="Species" dataDxfId="41">
      <calculatedColumnFormula>IF(ISERROR(Simulation_assumptions!$D$19),"",IF(ROW(D11)&gt;Inventory_data!$AL$17*Simulation_assumptions!$D$19+10,"",OFFSET(Inventory_data!$D$19,ROW(F11)-10-Inventory_data!$AL$17*INT((ROW(F11)-11)/Inventory_data!$AL$17),1,1,1)))</calculatedColumnFormula>
    </tableColumn>
    <tableColumn id="6" xr3:uid="{00000000-0010-0000-0900-000006000000}" name="Maximum rotation period" dataDxfId="40">
      <calculatedColumnFormula array="1">IF(B11&lt;&gt;"",IFERROR(INDEX(models_tbl10[Rotation period],MATCH(Inventory_Simulation!D11&amp;Inventory_Simulation!F11,(models_tbl10[Stratum]&amp;models_tbl10[Species]),0)),""),"")</calculatedColumnFormula>
    </tableColumn>
    <tableColumn id="7" xr3:uid="{00000000-0010-0000-0900-000007000000}" name="Age at beginning of simulation" dataDxfId="39">
      <calculatedColumnFormula>IF(D11&lt;&gt;"",VLOOKUP(Inventory_Simulation!Q11,inventory_data_tbl[],7,FALSE),"")</calculatedColumnFormula>
    </tableColumn>
    <tableColumn id="8" xr3:uid="{00000000-0010-0000-0900-000008000000}" name="Age class" dataDxfId="38">
      <calculatedColumnFormula>IF(D11&lt;&gt;"",IF(H11+B11&lt;=G11,(H11+B11),IF(H11+B11&lt;=(2*G11),(H11+B11-G11),(H11+B11-(ROUNDDOWN((H11+B11)/G11,0)*G11)))),"")</calculatedColumnFormula>
    </tableColumn>
    <tableColumn id="9" xr3:uid="{00000000-0010-0000-0900-000009000000}" name="Standing volume according to growth model (m³/ha)" dataDxfId="37">
      <calculatedColumnFormula>IF(D11&lt;&gt;"",IF(ISERROR(VLOOKUP(P11,All_Models!B:G,6,FALSE)),"",VLOOKUP(P11,All_Models!B:G,6,FALSE)),"")</calculatedColumnFormula>
    </tableColumn>
    <tableColumn id="10" xr3:uid="{00000000-0010-0000-0900-00000A000000}" name="Carbon stocks trees (tCO2e)" dataDxfId="36">
      <calculatedColumnFormula>IF(D11&lt;&gt;"",44/12*(1+V11)*W11*J11*T11*S11,"")</calculatedColumnFormula>
    </tableColumn>
    <tableColumn id="11" xr3:uid="{00000000-0010-0000-0900-00000B000000}" name="Carbon stocks shrubs (tCO2e)" dataDxfId="35">
      <calculatedColumnFormula>IF(D11&lt;&gt;"",(44/12)*Species!$I$18*Species!$I$21*'General Data'!$J$19*Species!$I$20,"")</calculatedColumnFormula>
    </tableColumn>
    <tableColumn id="12" xr3:uid="{00000000-0010-0000-0900-00000C000000}" name="Carbon stocks dead wood (tCO2e)" dataDxfId="34">
      <calculatedColumnFormula>IF(B11&lt;&gt;"",(VLOOKUP(D11,strata_tbl[],6,FALSE))*K11,"")</calculatedColumnFormula>
    </tableColumn>
    <tableColumn id="13" xr3:uid="{00000000-0010-0000-0900-00000D000000}" name="Carbon stocks litter (tCO2e)" dataDxfId="33">
      <calculatedColumnFormula>IF(D11&lt;&gt;"",(VLOOKUP(D11,strata_tbl[],7,FALSE)*K11),"")</calculatedColumnFormula>
    </tableColumn>
    <tableColumn id="14" xr3:uid="{00000000-0010-0000-0900-00000E000000}" name="Total Carbon stocks - all pools (tCO2e)" dataDxfId="32">
      <calculatedColumnFormula array="1">IF(D11&lt;&gt;"",SUM(IF(ISERROR(K11:N37),"",K11:N37)),"")</calculatedColumnFormula>
    </tableColumn>
    <tableColumn id="15" xr3:uid="{00000000-0010-0000-0900-00000F000000}" name="Concatenate for Lookup parameters" dataDxfId="31">
      <calculatedColumnFormula>IF(D11&lt;&gt;"",CONCATENATE(D11, "-",F11, "-", I11),"")</calculatedColumnFormula>
    </tableColumn>
    <tableColumn id="16" xr3:uid="{00000000-0010-0000-0900-000010000000}" name="Concatenate for Lookup age" dataDxfId="30">
      <calculatedColumnFormula>IF(D11&lt;&gt;"",CONCATENATE(D11, "-", F11),"")</calculatedColumnFormula>
    </tableColumn>
    <tableColumn id="17" xr3:uid="{00000000-0010-0000-0900-000011000000}" name="Concatenate for Real Data" dataDxfId="29">
      <calculatedColumnFormula>IF(D11&lt;&gt;"",CONCATENATE(D11, "-",F11, "-", H11),"")</calculatedColumnFormula>
    </tableColumn>
    <tableColumn id="18" xr3:uid="{00000000-0010-0000-0900-000012000000}" name="BEF" dataDxfId="28">
      <calculatedColumnFormula>IF(B11&lt;&gt;"",VLOOKUP(F11,species_tbl[],4,FALSE),"")</calculatedColumnFormula>
    </tableColumn>
    <tableColumn id="19" xr3:uid="{00000000-0010-0000-0900-000013000000}" name="Density" dataDxfId="27">
      <calculatedColumnFormula>IF(B11&lt;&gt;"",VLOOKUP(F11,species_tbl[],2,FALSE),"")</calculatedColumnFormula>
    </tableColumn>
    <tableColumn id="20" xr3:uid="{00000000-0010-0000-0900-000014000000}" name="Density * Volume*BEF" dataDxfId="26">
      <calculatedColumnFormula>T11*S11*J11</calculatedColumnFormula>
    </tableColumn>
    <tableColumn id="21" xr3:uid="{00000000-0010-0000-0900-000015000000}" name="Rj" dataDxfId="25">
      <calculatedColumnFormula>IF(B11&lt;&gt;"",EXP(-1.085+0.9256*LN(U11))/(U11),"")</calculatedColumnFormula>
    </tableColumn>
    <tableColumn id="22" xr3:uid="{00000000-0010-0000-0900-000016000000}" name="CF tree" dataDxfId="24">
      <calculatedColumnFormula>IF(B11&lt;&gt;"",VLOOKUP(F11,species_tbl[],3,FALSE),"")</calculatedColumnFormula>
    </tableColumn>
    <tableColumn id="23" xr3:uid="{00000000-0010-0000-0900-000017000000}" name="wi" dataDxfId="23">
      <calculatedColumnFormula>E11/(SUM(Models!$G$16:$G$20))</calculatedColumnFormula>
    </tableColumn>
  </tableColumns>
  <tableStyleInfo showFirstColumn="0" showLastColumn="0" showRowStripes="1" showColumnStripes="0"/>
</table>
</file>

<file path=xl/theme/theme1.xml><?xml version="1.0" encoding="utf-8"?>
<a:theme xmlns:a="http://schemas.openxmlformats.org/drawingml/2006/main" name="UNIQUE-Design-PP">
  <a:themeElements>
    <a:clrScheme name="UNIQUE">
      <a:dk1>
        <a:sysClr val="windowText" lastClr="000000"/>
      </a:dk1>
      <a:lt1>
        <a:sysClr val="window" lastClr="FFFFFF"/>
      </a:lt1>
      <a:dk2>
        <a:srgbClr val="004632"/>
      </a:dk2>
      <a:lt2>
        <a:srgbClr val="FFFFFB"/>
      </a:lt2>
      <a:accent1>
        <a:srgbClr val="006348"/>
      </a:accent1>
      <a:accent2>
        <a:srgbClr val="CCE0DA"/>
      </a:accent2>
      <a:accent3>
        <a:srgbClr val="FFC000"/>
      </a:accent3>
      <a:accent4>
        <a:srgbClr val="FFE288"/>
      </a:accent4>
      <a:accent5>
        <a:srgbClr val="6E6E6E"/>
      </a:accent5>
      <a:accent6>
        <a:srgbClr val="D2D2D2"/>
      </a:accent6>
      <a:hlink>
        <a:srgbClr val="8E58B6"/>
      </a:hlink>
      <a:folHlink>
        <a:srgbClr val="7F6F6F"/>
      </a:folHlink>
    </a:clrScheme>
    <a:fontScheme name="Larissa">
      <a:majorFont>
        <a:latin typeface="Calibri"/>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7.xml"/><Relationship Id="rId1" Type="http://schemas.openxmlformats.org/officeDocument/2006/relationships/printerSettings" Target="../printerSettings/printerSettings2.bin"/><Relationship Id="rId4" Type="http://schemas.openxmlformats.org/officeDocument/2006/relationships/table" Target="../tables/table4.xml"/></Relationships>
</file>

<file path=xl/worksheets/_rels/sheet8.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8.xml"/><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2.xml"/><Relationship Id="rId1" Type="http://schemas.openxmlformats.org/officeDocument/2006/relationships/printerSettings" Target="../printerSettings/printerSettings6.bin"/><Relationship Id="rId5" Type="http://schemas.openxmlformats.org/officeDocument/2006/relationships/table" Target="../tables/table9.xml"/><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7.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drawing" Target="../drawings/drawing15.xml"/><Relationship Id="rId1" Type="http://schemas.openxmlformats.org/officeDocument/2006/relationships/printerSettings" Target="../printerSettings/printerSettings9.bin"/></Relationships>
</file>

<file path=xl/worksheets/_rels/sheet17.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6.xml"/><Relationship Id="rId1" Type="http://schemas.openxmlformats.org/officeDocument/2006/relationships/printerSettings" Target="../printerSettings/printerSettings10.bin"/><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N36"/>
  <sheetViews>
    <sheetView showGridLines="0" zoomScaleNormal="100" workbookViewId="0">
      <pane ySplit="1" topLeftCell="A2" activePane="bottomLeft" state="frozen"/>
      <selection activeCell="E18" sqref="E18"/>
      <selection pane="bottomLeft" activeCell="A4" sqref="A4"/>
    </sheetView>
  </sheetViews>
  <sheetFormatPr defaultColWidth="11.42578125" defaultRowHeight="15" x14ac:dyDescent="0.25"/>
  <cols>
    <col min="1" max="1" width="4.85546875" style="7" customWidth="1"/>
    <col min="2" max="2" width="23" style="7" customWidth="1"/>
    <col min="3" max="3" width="94.140625" style="7" customWidth="1"/>
    <col min="4" max="16384" width="11.42578125" style="7"/>
  </cols>
  <sheetData>
    <row r="1" spans="1:14" s="37" customFormat="1" ht="120" customHeight="1" thickBot="1" x14ac:dyDescent="0.3">
      <c r="A1" s="36"/>
      <c r="B1" s="29"/>
    </row>
    <row r="2" spans="1:14" ht="20.25" customHeight="1" x14ac:dyDescent="0.25"/>
    <row r="3" spans="1:14" ht="20.25" customHeight="1" thickBot="1" x14ac:dyDescent="0.3">
      <c r="B3" s="3"/>
      <c r="C3" s="3"/>
      <c r="D3" s="3"/>
      <c r="E3" s="3"/>
      <c r="F3" s="3"/>
      <c r="G3" s="3"/>
      <c r="H3" s="3"/>
      <c r="I3" s="3"/>
      <c r="J3" s="3"/>
      <c r="K3" s="3"/>
      <c r="L3" s="3"/>
      <c r="M3" s="3"/>
      <c r="N3" s="3"/>
    </row>
    <row r="4" spans="1:14" ht="21" customHeight="1" x14ac:dyDescent="0.25">
      <c r="B4" s="111"/>
      <c r="C4" s="482" t="s">
        <v>1589</v>
      </c>
      <c r="D4" s="482"/>
      <c r="E4" s="112"/>
      <c r="F4" s="112"/>
      <c r="G4" s="113"/>
      <c r="H4" s="3"/>
      <c r="I4" s="3"/>
      <c r="J4" s="3"/>
      <c r="K4" s="3"/>
      <c r="L4" s="3"/>
      <c r="M4" s="3"/>
      <c r="N4" s="3"/>
    </row>
    <row r="5" spans="1:14" ht="21" customHeight="1" x14ac:dyDescent="0.25">
      <c r="B5" s="114"/>
      <c r="C5" s="2"/>
      <c r="D5" s="2"/>
      <c r="E5" s="2"/>
      <c r="F5" s="2"/>
      <c r="G5" s="115"/>
      <c r="H5" s="3"/>
      <c r="I5" s="3"/>
      <c r="J5" s="3"/>
      <c r="K5" s="3"/>
      <c r="L5" s="3"/>
      <c r="M5" s="3"/>
      <c r="N5" s="3"/>
    </row>
    <row r="6" spans="1:14" ht="21" customHeight="1" x14ac:dyDescent="0.25">
      <c r="B6" s="114"/>
      <c r="C6" s="2"/>
      <c r="D6" s="2"/>
      <c r="E6" s="2"/>
      <c r="F6" s="2"/>
      <c r="G6" s="115"/>
      <c r="H6" s="3"/>
      <c r="I6" s="3"/>
      <c r="J6" s="3"/>
      <c r="K6" s="3"/>
      <c r="L6" s="3"/>
      <c r="M6" s="3"/>
      <c r="N6" s="3"/>
    </row>
    <row r="7" spans="1:14" ht="21" customHeight="1" x14ac:dyDescent="0.25">
      <c r="B7" s="114"/>
      <c r="C7" s="2"/>
      <c r="D7" s="2"/>
      <c r="E7" s="2"/>
      <c r="F7" s="2"/>
      <c r="G7" s="115"/>
      <c r="H7" s="3"/>
      <c r="I7" s="3"/>
      <c r="J7" s="3"/>
      <c r="K7" s="3"/>
      <c r="L7" s="3"/>
      <c r="M7" s="3"/>
      <c r="N7" s="3"/>
    </row>
    <row r="8" spans="1:14" ht="21" customHeight="1" x14ac:dyDescent="0.25">
      <c r="B8" s="114"/>
      <c r="C8" s="2"/>
      <c r="D8" s="2"/>
      <c r="E8" s="2"/>
      <c r="F8" s="2"/>
      <c r="G8" s="115"/>
      <c r="H8" s="3"/>
      <c r="I8" s="3"/>
      <c r="J8" s="3"/>
      <c r="K8" s="3"/>
      <c r="L8" s="3"/>
      <c r="M8" s="3"/>
      <c r="N8" s="3"/>
    </row>
    <row r="9" spans="1:14" ht="14.25" customHeight="1" x14ac:dyDescent="0.25">
      <c r="B9" s="103" t="s">
        <v>763</v>
      </c>
      <c r="C9" s="104"/>
      <c r="D9" s="104"/>
      <c r="E9" s="104"/>
      <c r="F9" s="104"/>
      <c r="G9" s="105"/>
      <c r="H9" s="3"/>
      <c r="I9" s="3"/>
      <c r="J9" s="3"/>
      <c r="K9" s="3"/>
      <c r="L9" s="3"/>
      <c r="M9" s="3"/>
      <c r="N9" s="3"/>
    </row>
    <row r="10" spans="1:14" ht="14.25" customHeight="1" x14ac:dyDescent="0.25">
      <c r="B10" s="483" t="s">
        <v>1536</v>
      </c>
      <c r="C10" s="484"/>
      <c r="D10" s="484"/>
      <c r="E10" s="484"/>
      <c r="F10" s="484"/>
      <c r="G10" s="485"/>
      <c r="H10" s="3"/>
      <c r="I10" s="3"/>
      <c r="J10" s="3"/>
      <c r="K10" s="3"/>
      <c r="L10" s="3"/>
      <c r="M10" s="3"/>
      <c r="N10" s="3"/>
    </row>
    <row r="11" spans="1:14" ht="14.25" customHeight="1" x14ac:dyDescent="0.25">
      <c r="B11" s="483"/>
      <c r="C11" s="484"/>
      <c r="D11" s="484"/>
      <c r="E11" s="484"/>
      <c r="F11" s="484"/>
      <c r="G11" s="485"/>
      <c r="H11" s="3"/>
      <c r="I11" s="3"/>
      <c r="J11" s="3"/>
      <c r="K11" s="3"/>
      <c r="L11" s="3"/>
      <c r="M11" s="3"/>
      <c r="N11" s="3"/>
    </row>
    <row r="12" spans="1:14" ht="14.25" customHeight="1" x14ac:dyDescent="0.25">
      <c r="B12" s="106"/>
      <c r="C12" s="104"/>
      <c r="D12" s="104"/>
      <c r="E12" s="104"/>
      <c r="F12" s="104"/>
      <c r="G12" s="105"/>
      <c r="H12" s="3"/>
      <c r="I12" s="3"/>
      <c r="J12" s="3"/>
      <c r="K12" s="3"/>
      <c r="L12" s="3"/>
      <c r="M12" s="3"/>
      <c r="N12" s="3"/>
    </row>
    <row r="13" spans="1:14" ht="21" customHeight="1" x14ac:dyDescent="0.25">
      <c r="B13" s="103" t="s">
        <v>705</v>
      </c>
      <c r="C13" s="104"/>
      <c r="D13" s="104"/>
      <c r="E13" s="104"/>
      <c r="F13" s="104"/>
      <c r="G13" s="105"/>
      <c r="H13" s="3"/>
      <c r="I13" s="3"/>
      <c r="J13" s="3"/>
      <c r="K13" s="3"/>
      <c r="L13" s="3"/>
      <c r="M13" s="3"/>
      <c r="N13" s="3"/>
    </row>
    <row r="14" spans="1:14" ht="21" customHeight="1" x14ac:dyDescent="0.25">
      <c r="B14" s="483" t="s">
        <v>1539</v>
      </c>
      <c r="C14" s="484"/>
      <c r="D14" s="484"/>
      <c r="E14" s="484"/>
      <c r="F14" s="484"/>
      <c r="G14" s="485"/>
      <c r="H14" s="3"/>
      <c r="I14" s="3"/>
      <c r="J14" s="3"/>
      <c r="K14" s="3"/>
      <c r="L14" s="3"/>
      <c r="M14" s="3"/>
      <c r="N14" s="3"/>
    </row>
    <row r="15" spans="1:14" ht="21" customHeight="1" x14ac:dyDescent="0.25">
      <c r="B15" s="483"/>
      <c r="C15" s="484"/>
      <c r="D15" s="484"/>
      <c r="E15" s="484"/>
      <c r="F15" s="484"/>
      <c r="G15" s="485"/>
      <c r="H15" s="3"/>
      <c r="I15" s="3"/>
      <c r="J15" s="3"/>
      <c r="K15" s="3"/>
      <c r="L15" s="3"/>
      <c r="M15" s="3"/>
      <c r="N15" s="3"/>
    </row>
    <row r="16" spans="1:14" ht="21" customHeight="1" x14ac:dyDescent="0.25">
      <c r="B16" s="483"/>
      <c r="C16" s="484"/>
      <c r="D16" s="484"/>
      <c r="E16" s="484"/>
      <c r="F16" s="484"/>
      <c r="G16" s="485"/>
      <c r="H16" s="3"/>
      <c r="I16" s="3"/>
      <c r="J16" s="3"/>
      <c r="K16" s="3"/>
      <c r="L16" s="3"/>
      <c r="M16" s="3"/>
      <c r="N16" s="3"/>
    </row>
    <row r="17" spans="2:14" ht="17.25" customHeight="1" x14ac:dyDescent="0.25">
      <c r="B17" s="106"/>
      <c r="C17" s="104"/>
      <c r="D17" s="104"/>
      <c r="E17" s="104"/>
      <c r="F17" s="104"/>
      <c r="G17" s="105"/>
      <c r="H17" s="3"/>
      <c r="I17" s="3"/>
      <c r="J17" s="3"/>
      <c r="K17" s="3"/>
      <c r="L17" s="3"/>
      <c r="M17" s="3"/>
      <c r="N17" s="3"/>
    </row>
    <row r="18" spans="2:14" ht="17.25" customHeight="1" x14ac:dyDescent="0.25">
      <c r="B18" s="103" t="s">
        <v>764</v>
      </c>
      <c r="C18" s="107"/>
      <c r="D18" s="104"/>
      <c r="E18" s="104"/>
      <c r="F18" s="104"/>
      <c r="G18" s="105"/>
      <c r="H18" s="3"/>
      <c r="I18" s="3"/>
      <c r="J18" s="3"/>
      <c r="K18" s="3"/>
      <c r="L18" s="3"/>
      <c r="M18" s="3"/>
      <c r="N18" s="3"/>
    </row>
    <row r="19" spans="2:14" ht="17.25" customHeight="1" x14ac:dyDescent="0.25">
      <c r="B19" s="483" t="s">
        <v>1537</v>
      </c>
      <c r="C19" s="484"/>
      <c r="D19" s="484"/>
      <c r="E19" s="484"/>
      <c r="F19" s="484"/>
      <c r="G19" s="485"/>
      <c r="H19" s="3"/>
      <c r="I19" s="3"/>
      <c r="J19" s="3"/>
      <c r="K19" s="3"/>
      <c r="L19" s="3"/>
      <c r="M19" s="3"/>
      <c r="N19" s="3"/>
    </row>
    <row r="20" spans="2:14" ht="17.25" customHeight="1" x14ac:dyDescent="0.25">
      <c r="B20" s="483"/>
      <c r="C20" s="484"/>
      <c r="D20" s="484"/>
      <c r="E20" s="484"/>
      <c r="F20" s="484"/>
      <c r="G20" s="485"/>
      <c r="H20" s="91"/>
      <c r="I20" s="91"/>
      <c r="J20" s="91"/>
      <c r="K20" s="91"/>
      <c r="L20" s="91"/>
      <c r="M20" s="91"/>
      <c r="N20" s="92"/>
    </row>
    <row r="21" spans="2:14" ht="17.25" customHeight="1" x14ac:dyDescent="0.25">
      <c r="B21" s="472"/>
      <c r="C21" s="473"/>
      <c r="D21" s="473"/>
      <c r="E21" s="473"/>
      <c r="F21" s="473"/>
      <c r="G21" s="474"/>
      <c r="H21" s="93"/>
      <c r="I21" s="93"/>
      <c r="J21" s="93"/>
      <c r="K21" s="93"/>
      <c r="L21" s="92"/>
      <c r="M21" s="92"/>
      <c r="N21" s="92"/>
    </row>
    <row r="22" spans="2:14" ht="17.25" customHeight="1" x14ac:dyDescent="0.25">
      <c r="B22" s="103" t="s">
        <v>1538</v>
      </c>
      <c r="C22" s="104"/>
      <c r="D22" s="104"/>
      <c r="E22" s="104"/>
      <c r="F22" s="108"/>
      <c r="G22" s="109"/>
      <c r="H22" s="93"/>
      <c r="I22" s="93"/>
      <c r="J22" s="93"/>
      <c r="K22" s="93"/>
      <c r="L22" s="92"/>
      <c r="M22" s="92"/>
      <c r="N22" s="92"/>
    </row>
    <row r="23" spans="2:14" ht="17.25" customHeight="1" x14ac:dyDescent="0.25">
      <c r="B23" s="471" t="s">
        <v>1590</v>
      </c>
      <c r="C23" s="104"/>
      <c r="D23" s="104"/>
      <c r="E23" s="104"/>
      <c r="F23" s="108"/>
      <c r="G23" s="109"/>
      <c r="H23" s="94"/>
      <c r="I23" s="3"/>
      <c r="J23" s="3"/>
      <c r="K23" s="3"/>
      <c r="L23" s="3"/>
      <c r="M23" s="3"/>
      <c r="N23" s="3"/>
    </row>
    <row r="24" spans="2:14" ht="17.25" customHeight="1" x14ac:dyDescent="0.25">
      <c r="B24" s="106"/>
      <c r="C24" s="90"/>
      <c r="D24" s="90"/>
      <c r="E24" s="90"/>
      <c r="F24" s="94"/>
      <c r="G24" s="110"/>
      <c r="H24" s="3"/>
      <c r="I24" s="3"/>
      <c r="J24" s="3"/>
      <c r="K24" s="3"/>
      <c r="L24" s="3"/>
      <c r="M24" s="3"/>
      <c r="N24" s="3"/>
    </row>
    <row r="25" spans="2:14" ht="17.25" customHeight="1" x14ac:dyDescent="0.25">
      <c r="B25" s="103" t="s">
        <v>768</v>
      </c>
      <c r="C25" s="104"/>
      <c r="D25" s="104"/>
      <c r="E25" s="104"/>
      <c r="F25" s="104"/>
      <c r="G25" s="105"/>
      <c r="H25" s="3"/>
      <c r="I25" s="3"/>
      <c r="J25" s="3"/>
      <c r="K25" s="3"/>
      <c r="L25" s="3"/>
      <c r="M25" s="3"/>
      <c r="N25" s="3"/>
    </row>
    <row r="26" spans="2:14" ht="17.25" customHeight="1" x14ac:dyDescent="0.25">
      <c r="B26" s="483" t="s">
        <v>1588</v>
      </c>
      <c r="C26" s="484"/>
      <c r="D26" s="484"/>
      <c r="E26" s="484"/>
      <c r="F26" s="484"/>
      <c r="G26" s="485"/>
      <c r="H26" s="3"/>
      <c r="I26" s="3"/>
      <c r="J26" s="3"/>
      <c r="K26" s="3"/>
      <c r="L26" s="3"/>
      <c r="M26" s="3"/>
      <c r="N26" s="3"/>
    </row>
    <row r="27" spans="2:14" ht="17.25" customHeight="1" x14ac:dyDescent="0.25">
      <c r="B27" s="483"/>
      <c r="C27" s="484"/>
      <c r="D27" s="484"/>
      <c r="E27" s="484"/>
      <c r="F27" s="484"/>
      <c r="G27" s="485"/>
      <c r="H27" s="91"/>
      <c r="I27" s="91"/>
      <c r="J27" s="91"/>
      <c r="K27" s="91"/>
      <c r="L27" s="91"/>
      <c r="M27" s="91"/>
      <c r="N27" s="91"/>
    </row>
    <row r="28" spans="2:14" ht="17.25" customHeight="1" x14ac:dyDescent="0.25">
      <c r="B28" s="483"/>
      <c r="C28" s="484"/>
      <c r="D28" s="484"/>
      <c r="E28" s="484"/>
      <c r="F28" s="484"/>
      <c r="G28" s="485"/>
      <c r="H28" s="91"/>
      <c r="I28" s="91"/>
      <c r="J28" s="91"/>
      <c r="K28" s="91"/>
      <c r="L28" s="91"/>
      <c r="M28" s="91"/>
      <c r="N28" s="91"/>
    </row>
    <row r="29" spans="2:14" x14ac:dyDescent="0.25">
      <c r="B29" s="114"/>
      <c r="C29" s="2"/>
      <c r="D29" s="2"/>
      <c r="E29" s="2"/>
      <c r="F29" s="116"/>
      <c r="G29" s="117"/>
      <c r="H29" s="91"/>
      <c r="I29" s="91"/>
      <c r="J29" s="91"/>
      <c r="K29" s="91"/>
      <c r="L29" s="91"/>
      <c r="M29" s="91"/>
      <c r="N29" s="91"/>
    </row>
    <row r="30" spans="2:14" ht="15.75" thickBot="1" x14ac:dyDescent="0.3">
      <c r="B30" s="118"/>
      <c r="C30" s="119"/>
      <c r="D30" s="119"/>
      <c r="E30" s="119"/>
      <c r="F30" s="120"/>
      <c r="G30" s="121"/>
      <c r="H30" s="91"/>
      <c r="I30" s="91"/>
      <c r="J30" s="91"/>
      <c r="K30" s="91"/>
      <c r="L30" s="91"/>
      <c r="M30" s="91"/>
      <c r="N30" s="91"/>
    </row>
    <row r="31" spans="2:14" x14ac:dyDescent="0.25">
      <c r="B31" s="3"/>
      <c r="C31" s="3"/>
      <c r="D31" s="3"/>
      <c r="E31" s="3"/>
      <c r="F31" s="91"/>
      <c r="G31" s="91"/>
      <c r="H31" s="91"/>
      <c r="I31" s="91"/>
      <c r="J31" s="91"/>
      <c r="K31" s="91"/>
      <c r="L31" s="91"/>
      <c r="M31" s="91"/>
      <c r="N31" s="91"/>
    </row>
    <row r="32" spans="2:14" x14ac:dyDescent="0.25">
      <c r="B32" s="3"/>
      <c r="C32" s="3"/>
      <c r="D32" s="3"/>
      <c r="E32" s="3"/>
      <c r="F32" s="91"/>
      <c r="G32" s="91"/>
      <c r="H32" s="91"/>
      <c r="I32" s="91"/>
      <c r="J32" s="91"/>
      <c r="K32" s="91"/>
      <c r="L32" s="91"/>
      <c r="M32" s="91"/>
      <c r="N32" s="91"/>
    </row>
    <row r="33" spans="2:14" x14ac:dyDescent="0.25">
      <c r="B33" s="3"/>
      <c r="C33" s="3"/>
      <c r="D33" s="3"/>
      <c r="E33" s="3"/>
      <c r="F33" s="91"/>
      <c r="G33" s="91"/>
      <c r="H33" s="91"/>
      <c r="I33" s="91"/>
      <c r="J33" s="91"/>
      <c r="K33" s="91"/>
      <c r="L33" s="91"/>
      <c r="M33" s="91"/>
      <c r="N33" s="91"/>
    </row>
    <row r="34" spans="2:14" x14ac:dyDescent="0.25">
      <c r="B34" s="3"/>
      <c r="C34" s="3"/>
      <c r="D34" s="3"/>
      <c r="E34" s="3"/>
      <c r="F34" s="91"/>
      <c r="G34" s="91"/>
      <c r="H34" s="91"/>
      <c r="I34" s="91"/>
      <c r="J34" s="91"/>
      <c r="K34" s="91"/>
      <c r="L34" s="91"/>
      <c r="M34" s="91"/>
      <c r="N34" s="91"/>
    </row>
    <row r="35" spans="2:14" x14ac:dyDescent="0.25">
      <c r="B35" s="3"/>
      <c r="C35" s="3"/>
      <c r="D35" s="3"/>
      <c r="E35" s="3"/>
      <c r="F35" s="91"/>
      <c r="G35" s="91"/>
      <c r="H35" s="91"/>
      <c r="I35" s="91"/>
      <c r="J35" s="91"/>
      <c r="K35" s="91"/>
      <c r="L35" s="91"/>
      <c r="M35" s="91"/>
      <c r="N35" s="91"/>
    </row>
    <row r="36" spans="2:14" x14ac:dyDescent="0.25">
      <c r="B36" s="3"/>
      <c r="C36" s="3"/>
      <c r="D36" s="3"/>
      <c r="E36" s="3"/>
      <c r="F36" s="91"/>
      <c r="G36" s="91"/>
      <c r="H36" s="91"/>
      <c r="I36" s="91"/>
      <c r="J36" s="91"/>
      <c r="K36" s="91"/>
      <c r="L36" s="91"/>
      <c r="M36" s="91"/>
      <c r="N36" s="91"/>
    </row>
  </sheetData>
  <sheetProtection algorithmName="SHA-512" hashValue="vNwKHQ21e6ZQGdVyn+3Nn7I8+YVBLshgeQYvEB+dX6uawuQJwZuD0SomatBCTN7Ky0/QiKsZPSLWbPNVo6uaYg==" saltValue="Fp0f8woa9K4A9uHfkgbgKw==" spinCount="100000" sheet="1" objects="1" scenarios="1" selectLockedCells="1"/>
  <mergeCells count="5">
    <mergeCell ref="C4:D4"/>
    <mergeCell ref="B10:G11"/>
    <mergeCell ref="B14:G16"/>
    <mergeCell ref="B19:G20"/>
    <mergeCell ref="B26:G28"/>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V26"/>
  <sheetViews>
    <sheetView showGridLines="0" zoomScaleNormal="100" workbookViewId="0">
      <selection activeCell="E6" sqref="E6"/>
    </sheetView>
  </sheetViews>
  <sheetFormatPr defaultColWidth="8.7109375" defaultRowHeight="15" x14ac:dyDescent="0.25"/>
  <cols>
    <col min="1" max="1" width="7.42578125" customWidth="1"/>
    <col min="2" max="2" width="45.42578125" customWidth="1"/>
    <col min="6" max="6" width="4.7109375" customWidth="1"/>
    <col min="7" max="7" width="14.85546875" customWidth="1"/>
    <col min="8" max="8" width="2.85546875" style="1" customWidth="1"/>
    <col min="16" max="16" width="5.140625" customWidth="1"/>
    <col min="19" max="19" width="44.7109375" customWidth="1"/>
  </cols>
  <sheetData>
    <row r="1" spans="1:22" s="32" customFormat="1" ht="120" customHeight="1" x14ac:dyDescent="0.25"/>
    <row r="2" spans="1:22" s="3" customFormat="1" ht="12.75" customHeight="1" x14ac:dyDescent="0.25"/>
    <row r="3" spans="1:22" ht="12.75" customHeight="1" x14ac:dyDescent="0.25"/>
    <row r="4" spans="1:22" ht="18.75" x14ac:dyDescent="0.3">
      <c r="A4" s="8"/>
      <c r="B4" s="8" t="s">
        <v>1535</v>
      </c>
      <c r="C4" s="65"/>
      <c r="D4" s="65"/>
      <c r="Q4" s="438" t="s">
        <v>1545</v>
      </c>
      <c r="R4" s="438"/>
      <c r="S4" s="438"/>
      <c r="T4" s="438"/>
      <c r="U4" s="438"/>
      <c r="V4" s="438"/>
    </row>
    <row r="5" spans="1:22" ht="13.5" customHeight="1" thickBot="1" x14ac:dyDescent="0.35">
      <c r="A5" s="3"/>
      <c r="B5" s="65"/>
      <c r="C5" s="65"/>
      <c r="D5" s="65"/>
      <c r="Q5" s="438" t="s">
        <v>1557</v>
      </c>
      <c r="R5" s="438"/>
      <c r="S5" s="438"/>
      <c r="T5" s="438"/>
      <c r="U5" s="438"/>
      <c r="V5" s="438"/>
    </row>
    <row r="6" spans="1:22" ht="36.75" customHeight="1" thickBot="1" x14ac:dyDescent="0.3">
      <c r="A6" s="1"/>
      <c r="B6" s="486" t="s">
        <v>1540</v>
      </c>
      <c r="C6" s="487"/>
      <c r="D6" s="488"/>
      <c r="E6" s="95" t="s">
        <v>1478</v>
      </c>
      <c r="G6" s="75"/>
      <c r="I6" s="489" t="s">
        <v>1592</v>
      </c>
      <c r="J6" s="490"/>
      <c r="K6" s="490"/>
      <c r="L6" s="490"/>
      <c r="M6" s="490"/>
      <c r="N6" s="490"/>
      <c r="O6" s="491"/>
      <c r="Q6" s="486" t="s">
        <v>760</v>
      </c>
      <c r="R6" s="487"/>
      <c r="S6" s="488"/>
      <c r="T6" s="95" t="s">
        <v>1582</v>
      </c>
    </row>
    <row r="7" spans="1:22" ht="14.25" customHeight="1" x14ac:dyDescent="0.3">
      <c r="A7" s="1"/>
      <c r="B7" s="14"/>
      <c r="C7" s="73"/>
      <c r="D7" s="73"/>
      <c r="E7" s="65"/>
      <c r="G7" s="2"/>
      <c r="I7" s="492"/>
      <c r="J7" s="493"/>
      <c r="K7" s="493"/>
      <c r="L7" s="493"/>
      <c r="M7" s="493"/>
      <c r="N7" s="493"/>
      <c r="O7" s="494"/>
    </row>
    <row r="8" spans="1:22" ht="4.5" customHeight="1" thickBot="1" x14ac:dyDescent="0.3">
      <c r="A8" s="1"/>
      <c r="G8" s="2"/>
      <c r="I8" s="492"/>
      <c r="J8" s="493"/>
      <c r="K8" s="493"/>
      <c r="L8" s="493"/>
      <c r="M8" s="493"/>
      <c r="N8" s="493"/>
      <c r="O8" s="494"/>
    </row>
    <row r="9" spans="1:22" ht="33.75" customHeight="1" thickBot="1" x14ac:dyDescent="0.3">
      <c r="A9" s="1"/>
      <c r="B9" s="486" t="s">
        <v>1541</v>
      </c>
      <c r="C9" s="487"/>
      <c r="D9" s="488"/>
      <c r="E9" s="95" t="s">
        <v>1478</v>
      </c>
      <c r="F9" s="1"/>
      <c r="G9" s="1"/>
      <c r="I9" s="492"/>
      <c r="J9" s="493"/>
      <c r="K9" s="493"/>
      <c r="L9" s="493"/>
      <c r="M9" s="493"/>
      <c r="N9" s="493"/>
      <c r="O9" s="494"/>
    </row>
    <row r="10" spans="1:22" ht="16.5" customHeight="1" thickBot="1" x14ac:dyDescent="0.3">
      <c r="A10" s="1"/>
      <c r="I10" s="492"/>
      <c r="J10" s="493"/>
      <c r="K10" s="493"/>
      <c r="L10" s="493"/>
      <c r="M10" s="493"/>
      <c r="N10" s="493"/>
      <c r="O10" s="494"/>
    </row>
    <row r="11" spans="1:22" ht="33.75" customHeight="1" thickBot="1" x14ac:dyDescent="0.3">
      <c r="A11" s="1"/>
      <c r="B11" s="486" t="s">
        <v>1542</v>
      </c>
      <c r="C11" s="487"/>
      <c r="D11" s="488"/>
      <c r="E11" s="95" t="s">
        <v>1478</v>
      </c>
      <c r="G11" s="75"/>
      <c r="I11" s="492"/>
      <c r="J11" s="493"/>
      <c r="K11" s="493"/>
      <c r="L11" s="493"/>
      <c r="M11" s="493"/>
      <c r="N11" s="493"/>
      <c r="O11" s="494"/>
    </row>
    <row r="12" spans="1:22" ht="15" customHeight="1" thickBot="1" x14ac:dyDescent="0.3">
      <c r="A12" s="1"/>
      <c r="G12" s="2"/>
      <c r="I12" s="492"/>
      <c r="J12" s="493"/>
      <c r="K12" s="493"/>
      <c r="L12" s="493"/>
      <c r="M12" s="493"/>
      <c r="N12" s="493"/>
      <c r="O12" s="494"/>
    </row>
    <row r="13" spans="1:22" ht="33.75" customHeight="1" thickBot="1" x14ac:dyDescent="0.3">
      <c r="A13" s="1"/>
      <c r="B13" s="486" t="s">
        <v>1543</v>
      </c>
      <c r="C13" s="487"/>
      <c r="D13" s="488"/>
      <c r="E13" s="95" t="s">
        <v>1478</v>
      </c>
      <c r="F13" s="1"/>
      <c r="G13" s="75"/>
      <c r="I13" s="492"/>
      <c r="J13" s="493"/>
      <c r="K13" s="493"/>
      <c r="L13" s="493"/>
      <c r="M13" s="493"/>
      <c r="N13" s="493"/>
      <c r="O13" s="494"/>
    </row>
    <row r="14" spans="1:22" ht="12.75" customHeight="1" thickBot="1" x14ac:dyDescent="0.35">
      <c r="A14" s="1"/>
      <c r="B14" s="14"/>
      <c r="C14" s="73"/>
      <c r="D14" s="73"/>
      <c r="E14" s="65"/>
      <c r="F14" s="1"/>
      <c r="G14" s="2"/>
      <c r="I14" s="492"/>
      <c r="J14" s="493"/>
      <c r="K14" s="493"/>
      <c r="L14" s="493"/>
      <c r="M14" s="493"/>
      <c r="N14" s="493"/>
      <c r="O14" s="494"/>
    </row>
    <row r="15" spans="1:22" ht="33.75" customHeight="1" thickBot="1" x14ac:dyDescent="0.3">
      <c r="A15" s="1"/>
      <c r="B15" s="486" t="s">
        <v>1544</v>
      </c>
      <c r="C15" s="487"/>
      <c r="D15" s="488"/>
      <c r="E15" s="95" t="s">
        <v>1478</v>
      </c>
      <c r="F15" s="1"/>
      <c r="G15" s="75"/>
      <c r="I15" s="492"/>
      <c r="J15" s="493"/>
      <c r="K15" s="493"/>
      <c r="L15" s="493"/>
      <c r="M15" s="493"/>
      <c r="N15" s="493"/>
      <c r="O15" s="494"/>
    </row>
    <row r="16" spans="1:22" ht="16.5" customHeight="1" thickBot="1" x14ac:dyDescent="0.3">
      <c r="A16" s="1"/>
      <c r="B16" s="1"/>
      <c r="C16" s="1"/>
      <c r="D16" s="1"/>
      <c r="E16" s="1"/>
      <c r="F16" s="1"/>
      <c r="G16" s="2"/>
      <c r="I16" s="492"/>
      <c r="J16" s="493"/>
      <c r="K16" s="493"/>
      <c r="L16" s="493"/>
      <c r="M16" s="493"/>
      <c r="N16" s="493"/>
      <c r="O16" s="494"/>
    </row>
    <row r="17" spans="1:15" ht="33" customHeight="1" thickBot="1" x14ac:dyDescent="0.3">
      <c r="A17" s="1"/>
      <c r="B17" s="486" t="s">
        <v>761</v>
      </c>
      <c r="C17" s="487"/>
      <c r="D17" s="488"/>
      <c r="E17" s="95" t="s">
        <v>1478</v>
      </c>
      <c r="F17" s="1"/>
      <c r="G17" s="75"/>
      <c r="I17" s="492"/>
      <c r="J17" s="493"/>
      <c r="K17" s="493"/>
      <c r="L17" s="493"/>
      <c r="M17" s="493"/>
      <c r="N17" s="493"/>
      <c r="O17" s="494"/>
    </row>
    <row r="18" spans="1:15" ht="19.5" customHeight="1" thickBot="1" x14ac:dyDescent="0.35">
      <c r="A18" s="1"/>
      <c r="B18" s="74"/>
      <c r="C18" s="45"/>
      <c r="D18" s="73"/>
      <c r="E18" s="65"/>
      <c r="F18" s="1"/>
      <c r="G18" s="2"/>
      <c r="I18" s="492"/>
      <c r="J18" s="493"/>
      <c r="K18" s="493"/>
      <c r="L18" s="493"/>
      <c r="M18" s="493"/>
      <c r="N18" s="493"/>
      <c r="O18" s="494"/>
    </row>
    <row r="19" spans="1:15" ht="36.75" customHeight="1" thickBot="1" x14ac:dyDescent="0.3">
      <c r="A19" s="1"/>
      <c r="B19" s="486" t="s">
        <v>762</v>
      </c>
      <c r="C19" s="487"/>
      <c r="D19" s="488"/>
      <c r="E19" s="95" t="s">
        <v>1582</v>
      </c>
      <c r="F19" s="1"/>
      <c r="G19" s="75"/>
      <c r="I19" s="495"/>
      <c r="J19" s="496"/>
      <c r="K19" s="496"/>
      <c r="L19" s="496"/>
      <c r="M19" s="496"/>
      <c r="N19" s="496"/>
      <c r="O19" s="497"/>
    </row>
    <row r="20" spans="1:15" ht="11.25" customHeight="1" x14ac:dyDescent="0.25">
      <c r="A20" s="3"/>
      <c r="B20" s="14"/>
      <c r="C20" s="14"/>
      <c r="D20" s="14"/>
      <c r="E20" s="3"/>
      <c r="F20" s="1"/>
      <c r="G20" s="1"/>
    </row>
    <row r="21" spans="1:15" ht="33.75" customHeight="1" x14ac:dyDescent="0.25"/>
    <row r="26" spans="1:15" x14ac:dyDescent="0.25">
      <c r="I26" s="445"/>
    </row>
  </sheetData>
  <sheetProtection algorithmName="SHA-512" hashValue="jqBmpR8r5pgQJ4sJy7sf0tv819TnMoiaNj3o/hcUOKEEvucUXoerkFrSG7T0LzuNMr8mQGzXbhU7DC9a4dLzpA==" saltValue="7pFtW/oyOp8ykLCa1Q1pGg==" spinCount="100000" sheet="1" objects="1" scenarios="1" selectLockedCells="1"/>
  <mergeCells count="9">
    <mergeCell ref="B19:D19"/>
    <mergeCell ref="Q6:S6"/>
    <mergeCell ref="I6:O19"/>
    <mergeCell ref="B11:D11"/>
    <mergeCell ref="B6:D6"/>
    <mergeCell ref="B9:D9"/>
    <mergeCell ref="B13:D13"/>
    <mergeCell ref="B15:D15"/>
    <mergeCell ref="B17:D17"/>
  </mergeCells>
  <conditionalFormatting sqref="B19:E19">
    <cfRule type="expression" dxfId="22" priority="2">
      <formula>$E$17="No"</formula>
    </cfRule>
  </conditionalFormatting>
  <conditionalFormatting sqref="I13:J13">
    <cfRule type="expression" priority="1">
      <formula>AND($E$11="No",$E$13="No")</formula>
    </cfRule>
  </conditionalFormatting>
  <dataValidations count="1">
    <dataValidation type="list" allowBlank="1" showInputMessage="1" showErrorMessage="1" sqref="E13 E9 E11 E6 T6 E15 E19 E17" xr:uid="{00000000-0002-0000-0100-000000000000}">
      <formula1>"Yes,No"</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A1:BP246"/>
  <sheetViews>
    <sheetView showGridLines="0" zoomScaleNormal="100" workbookViewId="0">
      <pane ySplit="1" topLeftCell="A20" activePane="bottomLeft" state="frozen"/>
      <selection activeCell="E18" sqref="E18"/>
      <selection pane="bottomLeft" activeCell="J19" sqref="J19:K19"/>
    </sheetView>
  </sheetViews>
  <sheetFormatPr defaultColWidth="11.42578125" defaultRowHeight="15" x14ac:dyDescent="0.25"/>
  <cols>
    <col min="1" max="2" width="11.42578125" style="3"/>
    <col min="3" max="3" width="33.42578125" style="3" customWidth="1"/>
    <col min="4" max="4" width="11.42578125" style="3"/>
    <col min="5" max="5" width="19.140625" style="3" customWidth="1"/>
    <col min="6" max="6" width="18.28515625" style="3" customWidth="1"/>
    <col min="7" max="7" width="11.42578125" style="3"/>
    <col min="8" max="8" width="23.85546875" style="3" customWidth="1"/>
    <col min="9" max="9" width="2.42578125" style="3" customWidth="1"/>
    <col min="10" max="11" width="11.42578125" style="3"/>
    <col min="12" max="13" width="16.85546875" style="3" customWidth="1"/>
    <col min="14" max="14" width="11.42578125" style="3"/>
    <col min="15" max="20" width="11.42578125" style="78"/>
    <col min="21" max="21" width="31.42578125" style="78" hidden="1" customWidth="1"/>
    <col min="22" max="22" width="19.42578125" style="78" hidden="1" customWidth="1"/>
    <col min="23" max="37" width="0" style="78" hidden="1" customWidth="1"/>
    <col min="38" max="68" width="11.42578125" style="78"/>
    <col min="69" max="16384" width="11.42578125" style="3"/>
  </cols>
  <sheetData>
    <row r="1" spans="1:68" s="32" customFormat="1" ht="120" customHeight="1" x14ac:dyDescent="0.25">
      <c r="O1" s="101"/>
      <c r="P1" s="101"/>
      <c r="Q1" s="101"/>
      <c r="R1" s="101"/>
      <c r="S1" s="101"/>
      <c r="T1" s="101"/>
      <c r="U1" s="101"/>
      <c r="V1" s="101"/>
      <c r="W1" s="101"/>
      <c r="X1" s="101"/>
      <c r="Y1" s="101"/>
      <c r="Z1" s="101"/>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c r="BA1" s="101"/>
      <c r="BB1" s="101"/>
      <c r="BC1" s="101"/>
      <c r="BD1" s="101"/>
      <c r="BE1" s="101"/>
      <c r="BF1" s="101"/>
      <c r="BG1" s="101"/>
      <c r="BH1" s="101"/>
      <c r="BI1" s="101"/>
      <c r="BJ1" s="101"/>
      <c r="BK1" s="101"/>
      <c r="BL1" s="101"/>
      <c r="BM1" s="101"/>
      <c r="BN1" s="101"/>
      <c r="BO1" s="101"/>
      <c r="BP1" s="101"/>
    </row>
    <row r="2" spans="1:68" ht="21" customHeight="1" x14ac:dyDescent="0.25"/>
    <row r="3" spans="1:68" ht="21" customHeight="1" x14ac:dyDescent="0.3">
      <c r="B3" s="8" t="s">
        <v>1546</v>
      </c>
    </row>
    <row r="4" spans="1:68" ht="21" customHeight="1" x14ac:dyDescent="0.25"/>
    <row r="5" spans="1:68" ht="21" customHeight="1" x14ac:dyDescent="0.25"/>
    <row r="6" spans="1:68" ht="21" customHeight="1" x14ac:dyDescent="0.25">
      <c r="W6" s="79"/>
      <c r="X6" s="79"/>
      <c r="Y6" s="79"/>
      <c r="Z6" s="79"/>
      <c r="AA6" s="79"/>
      <c r="AB6" s="79"/>
      <c r="AC6" s="79"/>
      <c r="AD6" s="79"/>
      <c r="AE6" s="79"/>
      <c r="AF6" s="79"/>
      <c r="AG6" s="79"/>
    </row>
    <row r="7" spans="1:68" ht="21" customHeight="1" x14ac:dyDescent="0.25">
      <c r="W7" s="79"/>
      <c r="X7" s="79"/>
      <c r="Y7" s="79"/>
      <c r="Z7" s="79"/>
      <c r="AA7" s="79"/>
      <c r="AB7" s="79"/>
      <c r="AC7" s="79"/>
      <c r="AD7" s="79"/>
      <c r="AE7" s="79"/>
      <c r="AF7" s="79"/>
      <c r="AG7" s="79"/>
    </row>
    <row r="8" spans="1:68" ht="21" customHeight="1" x14ac:dyDescent="0.25">
      <c r="W8" s="79"/>
      <c r="X8" s="79"/>
      <c r="Y8" s="79"/>
      <c r="Z8" s="79"/>
      <c r="AA8" s="79"/>
      <c r="AB8" s="79"/>
      <c r="AC8" s="79"/>
      <c r="AD8" s="79"/>
      <c r="AE8" s="79"/>
      <c r="AF8" s="79"/>
      <c r="AG8" s="79"/>
    </row>
    <row r="9" spans="1:68" ht="21" customHeight="1" x14ac:dyDescent="0.25">
      <c r="W9" s="79"/>
      <c r="X9" s="79"/>
      <c r="Y9" s="79"/>
      <c r="Z9" s="79"/>
      <c r="AA9" s="79"/>
      <c r="AB9" s="79"/>
      <c r="AC9" s="79"/>
      <c r="AD9" s="79"/>
      <c r="AE9" s="79"/>
      <c r="AF9" s="79"/>
      <c r="AG9" s="79"/>
    </row>
    <row r="10" spans="1:68" ht="21" customHeight="1" x14ac:dyDescent="0.25">
      <c r="W10" s="79"/>
      <c r="X10" s="79"/>
      <c r="Y10" s="79"/>
      <c r="Z10" s="79"/>
      <c r="AA10" s="79"/>
      <c r="AB10" s="79"/>
      <c r="AC10" s="79"/>
      <c r="AD10" s="79"/>
      <c r="AE10" s="79"/>
      <c r="AF10" s="79"/>
      <c r="AG10" s="79"/>
    </row>
    <row r="11" spans="1:68" ht="21" customHeight="1" x14ac:dyDescent="0.25">
      <c r="W11" s="79"/>
      <c r="X11" s="79"/>
      <c r="Y11" s="79"/>
      <c r="Z11" s="79"/>
      <c r="AA11" s="79"/>
      <c r="AB11" s="79"/>
      <c r="AC11" s="79"/>
      <c r="AD11" s="79"/>
      <c r="AE11" s="79"/>
      <c r="AF11" s="79"/>
      <c r="AG11" s="79"/>
    </row>
    <row r="12" spans="1:68" ht="21" customHeight="1" x14ac:dyDescent="0.25">
      <c r="W12" s="79"/>
      <c r="X12" s="79"/>
      <c r="Y12" s="79"/>
      <c r="Z12" s="79"/>
      <c r="AA12" s="79"/>
      <c r="AB12" s="79"/>
      <c r="AC12" s="79"/>
      <c r="AD12" s="79"/>
      <c r="AE12" s="79"/>
      <c r="AF12" s="79"/>
      <c r="AG12" s="79"/>
    </row>
    <row r="13" spans="1:68" ht="19.5" customHeight="1" x14ac:dyDescent="0.25">
      <c r="T13" s="379"/>
      <c r="U13" s="379"/>
      <c r="V13" s="379"/>
      <c r="W13" s="79"/>
      <c r="X13" s="79"/>
      <c r="Y13" s="79"/>
      <c r="Z13" s="79"/>
      <c r="AA13" s="79"/>
      <c r="AB13" s="79"/>
      <c r="AC13" s="79"/>
      <c r="AD13" s="79"/>
      <c r="AE13" s="79"/>
      <c r="AF13" s="79"/>
      <c r="AG13" s="79"/>
    </row>
    <row r="14" spans="1:68" ht="18" customHeight="1" thickBot="1" x14ac:dyDescent="0.3">
      <c r="A14" s="2"/>
      <c r="B14" s="2"/>
      <c r="C14" s="2"/>
      <c r="D14" s="2"/>
      <c r="E14" s="2"/>
      <c r="F14" s="2"/>
      <c r="G14" s="2"/>
      <c r="H14" s="2"/>
      <c r="I14" s="2"/>
      <c r="J14" s="2"/>
      <c r="K14" s="2"/>
      <c r="L14" s="2"/>
      <c r="M14" s="2"/>
      <c r="N14" s="2"/>
      <c r="O14" s="79"/>
      <c r="T14" s="379"/>
      <c r="U14" s="379"/>
      <c r="V14" s="379"/>
      <c r="W14" s="79"/>
      <c r="X14" s="79"/>
      <c r="Y14" s="79"/>
      <c r="Z14" s="79"/>
      <c r="AA14" s="79"/>
      <c r="AB14" s="79"/>
      <c r="AC14" s="79"/>
      <c r="AD14" s="79"/>
      <c r="AE14" s="79"/>
      <c r="AF14" s="79"/>
      <c r="AG14" s="79"/>
    </row>
    <row r="15" spans="1:68" ht="18" customHeight="1" thickBot="1" x14ac:dyDescent="0.35">
      <c r="A15" s="2"/>
      <c r="B15" s="2"/>
      <c r="C15" s="122" t="s">
        <v>1547</v>
      </c>
      <c r="D15" s="504" t="s">
        <v>1513</v>
      </c>
      <c r="E15" s="505"/>
      <c r="F15" s="506"/>
      <c r="G15" s="2"/>
      <c r="I15" s="122" t="s">
        <v>1457</v>
      </c>
      <c r="J15" s="499">
        <v>500</v>
      </c>
      <c r="K15" s="500"/>
      <c r="L15" s="124" t="s">
        <v>724</v>
      </c>
      <c r="M15" s="2"/>
      <c r="N15" s="2"/>
      <c r="O15" s="79"/>
      <c r="T15" s="379"/>
      <c r="U15" s="379"/>
      <c r="V15" s="498" t="s">
        <v>765</v>
      </c>
      <c r="W15" s="79"/>
      <c r="X15" s="79"/>
      <c r="Y15" s="79"/>
      <c r="Z15" s="79"/>
      <c r="AA15" s="79"/>
      <c r="AB15" s="79"/>
      <c r="AC15" s="79"/>
      <c r="AD15" s="79"/>
      <c r="AE15" s="79"/>
      <c r="AF15" s="79"/>
      <c r="AG15" s="79"/>
    </row>
    <row r="16" spans="1:68" ht="18" customHeight="1" thickBot="1" x14ac:dyDescent="0.4">
      <c r="A16" s="2"/>
      <c r="B16" s="2"/>
      <c r="C16" s="122"/>
      <c r="D16" s="2"/>
      <c r="E16" s="2"/>
      <c r="F16" s="2"/>
      <c r="G16" s="2"/>
      <c r="H16" s="2"/>
      <c r="I16" s="122"/>
      <c r="J16" s="2"/>
      <c r="K16" s="2"/>
      <c r="L16" s="2"/>
      <c r="M16" s="2"/>
      <c r="N16" s="2"/>
      <c r="O16" s="79"/>
      <c r="T16" s="379"/>
      <c r="U16" s="379"/>
      <c r="V16" s="498"/>
      <c r="W16" s="79"/>
      <c r="X16" s="79"/>
      <c r="Y16" s="79"/>
      <c r="Z16" s="127"/>
      <c r="AA16" s="127"/>
      <c r="AB16" s="79"/>
      <c r="AC16" s="79"/>
      <c r="AD16" s="79"/>
      <c r="AE16" s="79"/>
      <c r="AF16" s="79"/>
      <c r="AG16" s="79"/>
    </row>
    <row r="17" spans="1:34" ht="19.5" customHeight="1" thickBot="1" x14ac:dyDescent="0.35">
      <c r="A17" s="2"/>
      <c r="B17" s="2"/>
      <c r="C17" s="122" t="s">
        <v>27</v>
      </c>
      <c r="D17" s="507" t="s">
        <v>230</v>
      </c>
      <c r="E17" s="508"/>
      <c r="F17" s="2"/>
      <c r="G17" s="2"/>
      <c r="I17" s="122" t="s">
        <v>8</v>
      </c>
      <c r="J17" s="507" t="s">
        <v>23</v>
      </c>
      <c r="K17" s="508"/>
      <c r="L17" s="2"/>
      <c r="M17" s="2"/>
      <c r="N17" s="2"/>
      <c r="O17" s="79"/>
      <c r="T17" s="379"/>
      <c r="U17" s="379" t="s">
        <v>41</v>
      </c>
      <c r="V17" s="392">
        <v>0.99096958174904948</v>
      </c>
      <c r="W17" s="79"/>
      <c r="X17" s="79"/>
      <c r="Y17" s="79"/>
      <c r="AA17" s="79"/>
      <c r="AB17" s="79"/>
      <c r="AC17" s="79"/>
      <c r="AD17" s="79"/>
      <c r="AE17" s="79"/>
      <c r="AF17" s="79"/>
      <c r="AG17" s="79"/>
    </row>
    <row r="18" spans="1:34" ht="14.25" customHeight="1" thickBot="1" x14ac:dyDescent="0.35">
      <c r="A18" s="2"/>
      <c r="B18" s="2"/>
      <c r="C18" s="122"/>
      <c r="D18" s="2"/>
      <c r="E18" s="2"/>
      <c r="F18" s="2"/>
      <c r="G18" s="2"/>
      <c r="H18" s="123"/>
      <c r="I18" s="2"/>
      <c r="J18" s="2"/>
      <c r="K18" s="2"/>
      <c r="L18" s="509"/>
      <c r="M18" s="509"/>
      <c r="N18" s="2"/>
      <c r="O18" s="79"/>
      <c r="T18" s="379"/>
      <c r="U18" s="379" t="s">
        <v>47</v>
      </c>
      <c r="V18" s="392">
        <v>0.9927140255009107</v>
      </c>
      <c r="W18" s="79"/>
      <c r="X18" s="79"/>
      <c r="Y18" s="79"/>
      <c r="AA18" s="79"/>
      <c r="AB18" s="79"/>
      <c r="AC18" s="79"/>
      <c r="AD18" s="79"/>
      <c r="AE18" s="79"/>
      <c r="AF18" s="79"/>
      <c r="AG18" s="79"/>
    </row>
    <row r="19" spans="1:34" ht="19.5" customHeight="1" thickBot="1" x14ac:dyDescent="0.35">
      <c r="A19" s="2"/>
      <c r="B19" s="2"/>
      <c r="C19" s="122" t="s">
        <v>708</v>
      </c>
      <c r="D19" s="510" t="str">
        <f>IF(D17&lt;&gt;"",VLOOKUP($D$17,AC21:AE235,2,FALSE),"")</f>
        <v>America</v>
      </c>
      <c r="E19" s="511"/>
      <c r="F19" s="2"/>
      <c r="G19" s="2"/>
      <c r="I19" s="122" t="s">
        <v>1456</v>
      </c>
      <c r="J19" s="499">
        <v>300</v>
      </c>
      <c r="K19" s="500"/>
      <c r="L19" s="512" t="s">
        <v>1281</v>
      </c>
      <c r="M19" s="513"/>
      <c r="N19" s="2"/>
      <c r="O19" s="79"/>
      <c r="T19" s="379"/>
      <c r="U19" s="379" t="s">
        <v>1280</v>
      </c>
      <c r="V19" s="392">
        <v>0.99310344827586206</v>
      </c>
      <c r="W19" s="79"/>
      <c r="X19" s="79"/>
      <c r="Y19" s="79"/>
      <c r="AA19" s="79"/>
      <c r="AB19" s="79"/>
      <c r="AC19" s="79"/>
      <c r="AD19" s="79"/>
      <c r="AE19" s="79"/>
      <c r="AF19" s="79"/>
      <c r="AG19" s="79"/>
    </row>
    <row r="20" spans="1:34" ht="16.5" customHeight="1" x14ac:dyDescent="0.3">
      <c r="A20" s="2"/>
      <c r="B20" s="2"/>
      <c r="C20" s="122"/>
      <c r="D20" s="2"/>
      <c r="E20" s="2"/>
      <c r="F20" s="2"/>
      <c r="G20" s="2"/>
      <c r="H20" s="287" t="s">
        <v>1516</v>
      </c>
      <c r="I20" s="2"/>
      <c r="J20" s="2"/>
      <c r="K20" s="2"/>
      <c r="L20" s="2"/>
      <c r="M20" s="2"/>
      <c r="N20" s="2"/>
      <c r="O20" s="79"/>
      <c r="T20" s="379"/>
      <c r="U20" s="379" t="s">
        <v>99</v>
      </c>
      <c r="V20" s="392">
        <v>1.4899811611577325</v>
      </c>
      <c r="W20" s="79"/>
      <c r="X20" s="79"/>
      <c r="Y20" s="79"/>
      <c r="AA20" s="79"/>
      <c r="AB20" s="79"/>
      <c r="AC20" s="393" t="s">
        <v>750</v>
      </c>
      <c r="AD20" s="393" t="s">
        <v>708</v>
      </c>
      <c r="AE20" s="79"/>
      <c r="AF20" s="79" t="s">
        <v>27</v>
      </c>
      <c r="AG20" s="79"/>
    </row>
    <row r="21" spans="1:34" ht="19.5" customHeight="1" thickBot="1" x14ac:dyDescent="0.35">
      <c r="C21" s="65"/>
      <c r="F21" s="9"/>
      <c r="T21" s="379"/>
      <c r="U21" s="379" t="s">
        <v>110</v>
      </c>
      <c r="V21" s="392">
        <v>1.5015352355275968</v>
      </c>
      <c r="W21" s="79"/>
      <c r="X21" s="79"/>
      <c r="Y21" s="79"/>
      <c r="AA21" s="79"/>
      <c r="AB21" s="79"/>
      <c r="AC21" s="79" t="s">
        <v>84</v>
      </c>
      <c r="AD21" s="79" t="s">
        <v>17</v>
      </c>
      <c r="AE21" s="79"/>
      <c r="AF21" s="79"/>
      <c r="AG21" s="79"/>
    </row>
    <row r="22" spans="1:34" ht="19.5" customHeight="1" thickBot="1" x14ac:dyDescent="0.35">
      <c r="C22" s="65" t="s">
        <v>1548</v>
      </c>
      <c r="D22" s="502" t="s">
        <v>230</v>
      </c>
      <c r="E22" s="503"/>
      <c r="F22" s="9"/>
      <c r="T22" s="379"/>
      <c r="U22" s="379" t="s">
        <v>230</v>
      </c>
      <c r="V22" s="392">
        <v>1.3604327159482053</v>
      </c>
      <c r="W22" s="79"/>
      <c r="X22" s="79"/>
      <c r="Y22" s="79"/>
      <c r="AA22" s="79"/>
      <c r="AB22" s="79"/>
      <c r="AC22" s="79" t="s">
        <v>153</v>
      </c>
      <c r="AD22" s="79" t="s">
        <v>242</v>
      </c>
      <c r="AE22" s="79"/>
      <c r="AF22" s="79" t="s">
        <v>1501</v>
      </c>
      <c r="AG22" s="79"/>
      <c r="AH22" s="78" t="s">
        <v>1502</v>
      </c>
    </row>
    <row r="23" spans="1:34" ht="19.5" customHeight="1" thickBot="1" x14ac:dyDescent="0.35">
      <c r="C23" s="65"/>
      <c r="D23" s="501"/>
      <c r="E23" s="501"/>
      <c r="F23" s="9"/>
      <c r="T23" s="379"/>
      <c r="U23" s="379" t="s">
        <v>229</v>
      </c>
      <c r="V23" s="392">
        <v>1.8025258323765787</v>
      </c>
      <c r="W23" s="79"/>
      <c r="X23" s="79"/>
      <c r="Y23" s="79"/>
      <c r="AA23" s="79"/>
      <c r="AB23" s="79"/>
      <c r="AC23" s="79" t="s">
        <v>1503</v>
      </c>
      <c r="AD23" s="79" t="s">
        <v>16</v>
      </c>
      <c r="AE23" s="79"/>
      <c r="AF23" s="79" t="s">
        <v>1503</v>
      </c>
      <c r="AG23" s="79" t="s">
        <v>16</v>
      </c>
      <c r="AH23" s="78">
        <v>0.24</v>
      </c>
    </row>
    <row r="24" spans="1:34" ht="19.5" customHeight="1" thickBot="1" x14ac:dyDescent="0.35">
      <c r="C24" s="65" t="s">
        <v>1549</v>
      </c>
      <c r="D24" s="499">
        <v>200</v>
      </c>
      <c r="E24" s="500"/>
      <c r="F24" s="9" t="str">
        <f>IF(Accuracy!$T$6="Yes","m³/year","")</f>
        <v/>
      </c>
      <c r="T24" s="379"/>
      <c r="U24" s="379" t="s">
        <v>236</v>
      </c>
      <c r="V24" s="392">
        <v>2.3291139240506329</v>
      </c>
      <c r="W24" s="79"/>
      <c r="X24" s="79"/>
      <c r="Y24" s="79"/>
      <c r="AA24" s="79"/>
      <c r="AB24" s="79"/>
      <c r="AC24" s="79" t="s">
        <v>133</v>
      </c>
      <c r="AD24" s="79" t="s">
        <v>18</v>
      </c>
      <c r="AE24" s="79"/>
      <c r="AF24" s="79" t="s">
        <v>29</v>
      </c>
      <c r="AG24" s="79" t="s">
        <v>16</v>
      </c>
      <c r="AH24" s="78">
        <v>0.24</v>
      </c>
    </row>
    <row r="25" spans="1:34" ht="19.5" customHeight="1" x14ac:dyDescent="0.25">
      <c r="F25" s="9"/>
      <c r="T25" s="379"/>
      <c r="U25" s="379" t="s">
        <v>239</v>
      </c>
      <c r="V25" s="392">
        <v>2.3204419889502761</v>
      </c>
      <c r="W25" s="79"/>
      <c r="X25" s="79"/>
      <c r="Y25" s="79"/>
      <c r="AA25" s="79"/>
      <c r="AB25" s="79"/>
      <c r="AC25" s="79" t="s">
        <v>154</v>
      </c>
      <c r="AD25" s="79" t="s">
        <v>242</v>
      </c>
      <c r="AE25" s="79"/>
      <c r="AF25" s="79" t="s">
        <v>30</v>
      </c>
      <c r="AG25" s="79" t="s">
        <v>16</v>
      </c>
      <c r="AH25" s="78">
        <v>0.24</v>
      </c>
    </row>
    <row r="26" spans="1:34" ht="19.5" customHeight="1" x14ac:dyDescent="0.25">
      <c r="F26" s="9"/>
      <c r="T26" s="379"/>
      <c r="U26" s="379"/>
      <c r="V26" s="379"/>
      <c r="X26" s="79"/>
      <c r="Y26" s="79"/>
      <c r="AA26" s="79"/>
      <c r="AB26" s="79"/>
      <c r="AC26" s="79" t="s">
        <v>29</v>
      </c>
      <c r="AD26" s="79" t="s">
        <v>16</v>
      </c>
      <c r="AE26" s="79"/>
      <c r="AF26" s="79" t="s">
        <v>31</v>
      </c>
      <c r="AG26" s="79" t="s">
        <v>16</v>
      </c>
      <c r="AH26" s="78">
        <v>0.24</v>
      </c>
    </row>
    <row r="27" spans="1:34" ht="19.5" customHeight="1" x14ac:dyDescent="0.25">
      <c r="W27" s="79"/>
      <c r="X27" s="79"/>
      <c r="Y27" s="79"/>
      <c r="Z27" s="79"/>
      <c r="AA27" s="79"/>
      <c r="AB27" s="79"/>
      <c r="AC27" s="79" t="s">
        <v>193</v>
      </c>
      <c r="AD27" s="79" t="s">
        <v>722</v>
      </c>
      <c r="AE27" s="79"/>
      <c r="AF27" s="79" t="s">
        <v>32</v>
      </c>
      <c r="AG27" s="79" t="s">
        <v>16</v>
      </c>
      <c r="AH27" s="78">
        <v>0.24</v>
      </c>
    </row>
    <row r="28" spans="1:34" ht="17.25" customHeight="1" x14ac:dyDescent="0.25">
      <c r="F28" s="9"/>
      <c r="W28" s="79"/>
      <c r="X28" s="79"/>
      <c r="Y28" s="79"/>
      <c r="Z28" s="79"/>
      <c r="AA28" s="79"/>
      <c r="AB28" s="79"/>
      <c r="AC28" s="79" t="s">
        <v>228</v>
      </c>
      <c r="AD28" s="79" t="s">
        <v>722</v>
      </c>
      <c r="AE28" s="79"/>
      <c r="AF28" s="79" t="s">
        <v>33</v>
      </c>
      <c r="AG28" s="79" t="s">
        <v>16</v>
      </c>
      <c r="AH28" s="78">
        <v>0.24</v>
      </c>
    </row>
    <row r="29" spans="1:34" ht="19.5" customHeight="1" x14ac:dyDescent="0.25">
      <c r="F29" s="9"/>
      <c r="W29" s="79"/>
      <c r="X29" s="79"/>
      <c r="Y29" s="79"/>
      <c r="Z29" s="79"/>
      <c r="AA29" s="79"/>
      <c r="AB29" s="79"/>
      <c r="AC29" s="79" t="s">
        <v>85</v>
      </c>
      <c r="AD29" s="79" t="s">
        <v>17</v>
      </c>
      <c r="AE29" s="79"/>
      <c r="AF29" s="79" t="s">
        <v>34</v>
      </c>
      <c r="AG29" s="79" t="s">
        <v>16</v>
      </c>
      <c r="AH29" s="78">
        <v>0.24</v>
      </c>
    </row>
    <row r="30" spans="1:34" ht="19.5" customHeight="1" x14ac:dyDescent="0.25">
      <c r="F30" s="9"/>
      <c r="W30" s="79"/>
      <c r="X30" s="79"/>
      <c r="Y30" s="79"/>
      <c r="Z30" s="79"/>
      <c r="AA30" s="79"/>
      <c r="AB30" s="79"/>
      <c r="AC30" s="79" t="s">
        <v>134</v>
      </c>
      <c r="AD30" s="79" t="s">
        <v>18</v>
      </c>
      <c r="AE30" s="79"/>
      <c r="AF30" s="79" t="s">
        <v>35</v>
      </c>
      <c r="AG30" s="79" t="s">
        <v>16</v>
      </c>
      <c r="AH30" s="78">
        <v>0.24</v>
      </c>
    </row>
    <row r="31" spans="1:34" ht="19.5" customHeight="1" x14ac:dyDescent="0.25">
      <c r="F31" s="9"/>
      <c r="H31" s="2"/>
      <c r="W31" s="79"/>
      <c r="X31" s="79"/>
      <c r="Y31" s="79"/>
      <c r="Z31" s="79"/>
      <c r="AA31" s="79"/>
      <c r="AB31" s="79"/>
      <c r="AC31" s="79" t="s">
        <v>155</v>
      </c>
      <c r="AD31" s="79" t="s">
        <v>242</v>
      </c>
      <c r="AE31" s="79"/>
      <c r="AF31" s="79" t="s">
        <v>36</v>
      </c>
      <c r="AG31" s="79" t="s">
        <v>16</v>
      </c>
      <c r="AH31" s="78">
        <v>0.24</v>
      </c>
    </row>
    <row r="32" spans="1:34" ht="39" customHeight="1" x14ac:dyDescent="0.25">
      <c r="G32" s="2"/>
      <c r="H32" s="2"/>
      <c r="W32" s="79"/>
      <c r="X32" s="79"/>
      <c r="Y32" s="79"/>
      <c r="Z32" s="79"/>
      <c r="AA32" s="79"/>
      <c r="AB32" s="79"/>
      <c r="AC32" s="79" t="s">
        <v>86</v>
      </c>
      <c r="AD32" s="79" t="s">
        <v>17</v>
      </c>
      <c r="AE32" s="79"/>
      <c r="AF32" s="79" t="s">
        <v>37</v>
      </c>
      <c r="AG32" s="79" t="s">
        <v>16</v>
      </c>
      <c r="AH32" s="78">
        <v>0.24</v>
      </c>
    </row>
    <row r="33" spans="1:34" ht="19.5" customHeight="1" x14ac:dyDescent="0.25">
      <c r="G33" s="2"/>
      <c r="H33" s="2"/>
      <c r="W33" s="79"/>
      <c r="X33" s="79"/>
      <c r="Y33" s="79"/>
      <c r="Z33" s="79"/>
      <c r="AA33" s="79"/>
      <c r="AB33" s="79"/>
      <c r="AC33" s="79" t="s">
        <v>194</v>
      </c>
      <c r="AD33" s="79" t="s">
        <v>722</v>
      </c>
      <c r="AE33" s="79"/>
      <c r="AF33" s="79" t="s">
        <v>38</v>
      </c>
      <c r="AG33" s="79" t="s">
        <v>16</v>
      </c>
      <c r="AH33" s="78">
        <v>0.24</v>
      </c>
    </row>
    <row r="34" spans="1:34" ht="39" customHeight="1" x14ac:dyDescent="0.25">
      <c r="G34" s="2"/>
      <c r="H34" s="2"/>
      <c r="W34" s="79"/>
      <c r="X34" s="79"/>
      <c r="Y34" s="79"/>
      <c r="Z34" s="79"/>
      <c r="AA34" s="79"/>
      <c r="AB34" s="79"/>
      <c r="AC34" s="79" t="s">
        <v>87</v>
      </c>
      <c r="AD34" s="79" t="s">
        <v>17</v>
      </c>
      <c r="AE34" s="79"/>
      <c r="AF34" s="79" t="s">
        <v>39</v>
      </c>
      <c r="AG34" s="79" t="s">
        <v>16</v>
      </c>
      <c r="AH34" s="78">
        <v>0.24</v>
      </c>
    </row>
    <row r="35" spans="1:34" ht="19.5" customHeight="1" x14ac:dyDescent="0.25">
      <c r="G35" s="2"/>
      <c r="H35" s="2"/>
      <c r="W35" s="79"/>
      <c r="X35" s="79"/>
      <c r="Y35" s="79"/>
      <c r="Z35" s="79"/>
      <c r="AA35" s="79"/>
      <c r="AB35" s="79"/>
      <c r="AC35" s="79" t="s">
        <v>88</v>
      </c>
      <c r="AD35" s="79" t="s">
        <v>17</v>
      </c>
      <c r="AE35" s="79"/>
      <c r="AF35" s="79" t="s">
        <v>40</v>
      </c>
      <c r="AG35" s="79" t="s">
        <v>16</v>
      </c>
      <c r="AH35" s="78">
        <v>0.24</v>
      </c>
    </row>
    <row r="36" spans="1:34" ht="40.5" customHeight="1" x14ac:dyDescent="0.25">
      <c r="G36" s="2"/>
      <c r="H36" s="2"/>
      <c r="W36" s="79"/>
      <c r="X36" s="79"/>
      <c r="Y36" s="79"/>
      <c r="Z36" s="79"/>
      <c r="AA36" s="79"/>
      <c r="AB36" s="79"/>
      <c r="AC36" s="79" t="s">
        <v>195</v>
      </c>
      <c r="AD36" s="79" t="s">
        <v>722</v>
      </c>
      <c r="AE36" s="79"/>
      <c r="AF36" s="79" t="s">
        <v>41</v>
      </c>
      <c r="AG36" s="79" t="s">
        <v>16</v>
      </c>
      <c r="AH36" s="78">
        <v>0.24</v>
      </c>
    </row>
    <row r="37" spans="1:34" ht="14.25" customHeight="1" x14ac:dyDescent="0.25">
      <c r="G37" s="2"/>
      <c r="W37" s="79"/>
      <c r="X37" s="79"/>
      <c r="Y37" s="79"/>
      <c r="Z37" s="79"/>
      <c r="AA37" s="79"/>
      <c r="AB37" s="79"/>
      <c r="AC37" s="79" t="s">
        <v>156</v>
      </c>
      <c r="AD37" s="79" t="s">
        <v>242</v>
      </c>
      <c r="AE37" s="79"/>
      <c r="AF37" s="79" t="s">
        <v>42</v>
      </c>
      <c r="AG37" s="79" t="s">
        <v>16</v>
      </c>
      <c r="AH37" s="78">
        <v>0.24</v>
      </c>
    </row>
    <row r="38" spans="1:34" ht="40.5" customHeight="1" x14ac:dyDescent="0.25">
      <c r="G38" s="2"/>
      <c r="W38" s="79"/>
      <c r="X38" s="79"/>
      <c r="Y38" s="79"/>
      <c r="Z38" s="79"/>
      <c r="AA38" s="79"/>
      <c r="AB38" s="79"/>
      <c r="AC38" s="79" t="s">
        <v>157</v>
      </c>
      <c r="AD38" s="79" t="s">
        <v>242</v>
      </c>
      <c r="AE38" s="79"/>
      <c r="AF38" s="79" t="s">
        <v>43</v>
      </c>
      <c r="AG38" s="79" t="s">
        <v>16</v>
      </c>
      <c r="AH38" s="78">
        <v>0.24</v>
      </c>
    </row>
    <row r="39" spans="1:34" ht="16.5" customHeight="1" x14ac:dyDescent="0.25">
      <c r="A39" s="2"/>
      <c r="F39" s="2"/>
      <c r="W39" s="79"/>
      <c r="X39" s="79"/>
      <c r="Y39" s="79"/>
      <c r="Z39" s="79"/>
      <c r="AA39" s="79"/>
      <c r="AB39" s="79"/>
      <c r="AC39" s="79" t="s">
        <v>196</v>
      </c>
      <c r="AD39" s="79" t="s">
        <v>722</v>
      </c>
      <c r="AE39" s="79"/>
      <c r="AF39" s="79" t="s">
        <v>44</v>
      </c>
      <c r="AG39" s="79" t="s">
        <v>16</v>
      </c>
      <c r="AH39" s="78">
        <v>0.24</v>
      </c>
    </row>
    <row r="40" spans="1:34" ht="35.25" customHeight="1" x14ac:dyDescent="0.25">
      <c r="A40" s="2"/>
      <c r="B40" s="2"/>
      <c r="C40" s="2"/>
      <c r="D40" s="2"/>
      <c r="E40" s="2"/>
      <c r="F40" s="2"/>
      <c r="W40" s="79"/>
      <c r="X40" s="79"/>
      <c r="Y40" s="79"/>
      <c r="Z40" s="79"/>
      <c r="AA40" s="79"/>
      <c r="AB40" s="79"/>
      <c r="AC40" s="79" t="s">
        <v>30</v>
      </c>
      <c r="AD40" s="79" t="s">
        <v>16</v>
      </c>
      <c r="AE40" s="79"/>
      <c r="AF40" s="79" t="s">
        <v>45</v>
      </c>
      <c r="AG40" s="79" t="s">
        <v>16</v>
      </c>
      <c r="AH40" s="78">
        <v>0.24</v>
      </c>
    </row>
    <row r="41" spans="1:34" ht="20.25" customHeight="1" x14ac:dyDescent="0.25">
      <c r="A41" s="2"/>
      <c r="B41" s="2"/>
      <c r="C41" s="2"/>
      <c r="D41" s="2"/>
      <c r="E41" s="2"/>
      <c r="F41" s="2"/>
      <c r="W41" s="79"/>
      <c r="X41" s="79"/>
      <c r="Y41" s="79"/>
      <c r="Z41" s="79"/>
      <c r="AA41" s="79"/>
      <c r="AB41" s="79"/>
      <c r="AC41" s="79" t="s">
        <v>197</v>
      </c>
      <c r="AD41" s="79" t="s">
        <v>722</v>
      </c>
      <c r="AE41" s="79"/>
      <c r="AF41" s="79" t="s">
        <v>46</v>
      </c>
      <c r="AG41" s="79" t="s">
        <v>16</v>
      </c>
      <c r="AH41" s="78">
        <v>0.24</v>
      </c>
    </row>
    <row r="42" spans="1:34" ht="35.25" customHeight="1" x14ac:dyDescent="0.25">
      <c r="A42" s="2"/>
      <c r="B42" s="2"/>
      <c r="C42" s="2"/>
      <c r="D42" s="2"/>
      <c r="E42" s="2"/>
      <c r="F42" s="2"/>
      <c r="W42" s="79"/>
      <c r="X42" s="79"/>
      <c r="Y42" s="79"/>
      <c r="Z42" s="79"/>
      <c r="AA42" s="79"/>
      <c r="AB42" s="79"/>
      <c r="AC42" s="79" t="s">
        <v>89</v>
      </c>
      <c r="AD42" s="79" t="s">
        <v>17</v>
      </c>
      <c r="AE42" s="79"/>
      <c r="AF42" s="79" t="s">
        <v>47</v>
      </c>
      <c r="AG42" s="79" t="s">
        <v>16</v>
      </c>
      <c r="AH42" s="78">
        <v>0.24</v>
      </c>
    </row>
    <row r="43" spans="1:34" x14ac:dyDescent="0.25">
      <c r="A43" s="2"/>
      <c r="B43" s="2"/>
      <c r="C43" s="2"/>
      <c r="D43" s="2"/>
      <c r="E43" s="2"/>
      <c r="F43" s="2"/>
      <c r="W43" s="79"/>
      <c r="X43" s="79"/>
      <c r="Y43" s="79"/>
      <c r="Z43" s="79"/>
      <c r="AA43" s="79"/>
      <c r="AB43" s="79"/>
      <c r="AC43" s="79" t="s">
        <v>229</v>
      </c>
      <c r="AD43" s="79" t="s">
        <v>722</v>
      </c>
      <c r="AE43" s="79"/>
      <c r="AF43" s="79" t="s">
        <v>48</v>
      </c>
      <c r="AG43" s="79" t="s">
        <v>16</v>
      </c>
      <c r="AH43" s="78">
        <v>0.24</v>
      </c>
    </row>
    <row r="44" spans="1:34" ht="35.25" customHeight="1" x14ac:dyDescent="0.25">
      <c r="A44" s="2"/>
      <c r="B44" s="2"/>
      <c r="C44" s="2"/>
      <c r="D44" s="2"/>
      <c r="E44" s="2"/>
      <c r="F44" s="2"/>
      <c r="W44" s="79"/>
      <c r="X44" s="79"/>
      <c r="Y44" s="79"/>
      <c r="Z44" s="79"/>
      <c r="AA44" s="79"/>
      <c r="AB44" s="79"/>
      <c r="AC44" s="79" t="s">
        <v>158</v>
      </c>
      <c r="AD44" s="79" t="s">
        <v>242</v>
      </c>
      <c r="AE44" s="79"/>
      <c r="AF44" s="79" t="s">
        <v>49</v>
      </c>
      <c r="AG44" s="79" t="s">
        <v>16</v>
      </c>
      <c r="AH44" s="78">
        <v>0.24</v>
      </c>
    </row>
    <row r="45" spans="1:34" x14ac:dyDescent="0.25">
      <c r="A45" s="2"/>
      <c r="W45" s="79"/>
      <c r="X45" s="79"/>
      <c r="Y45" s="79"/>
      <c r="Z45" s="79"/>
      <c r="AA45" s="79"/>
      <c r="AB45" s="79"/>
      <c r="AC45" s="79" t="s">
        <v>31</v>
      </c>
      <c r="AD45" s="79" t="s">
        <v>16</v>
      </c>
      <c r="AE45" s="79"/>
      <c r="AF45" s="79" t="s">
        <v>50</v>
      </c>
      <c r="AG45" s="79" t="s">
        <v>16</v>
      </c>
      <c r="AH45" s="78">
        <v>0.24</v>
      </c>
    </row>
    <row r="46" spans="1:34" x14ac:dyDescent="0.25">
      <c r="A46" s="2"/>
      <c r="W46" s="79"/>
      <c r="X46" s="79"/>
      <c r="Y46" s="79"/>
      <c r="Z46" s="79"/>
      <c r="AA46" s="79"/>
      <c r="AB46" s="79"/>
      <c r="AC46" s="79" t="s">
        <v>230</v>
      </c>
      <c r="AD46" s="79" t="s">
        <v>722</v>
      </c>
      <c r="AE46" s="79"/>
      <c r="AF46" s="79" t="s">
        <v>51</v>
      </c>
      <c r="AG46" s="79" t="s">
        <v>16</v>
      </c>
      <c r="AH46" s="78">
        <v>0.24</v>
      </c>
    </row>
    <row r="47" spans="1:34" x14ac:dyDescent="0.25">
      <c r="A47" s="2"/>
      <c r="W47" s="79"/>
      <c r="X47" s="79"/>
      <c r="Y47" s="79"/>
      <c r="Z47" s="79"/>
      <c r="AA47" s="79"/>
      <c r="AB47" s="79"/>
      <c r="AC47" s="79" t="s">
        <v>198</v>
      </c>
      <c r="AD47" s="79" t="s">
        <v>722</v>
      </c>
      <c r="AE47" s="79"/>
      <c r="AF47" s="79" t="s">
        <v>52</v>
      </c>
      <c r="AG47" s="79" t="s">
        <v>16</v>
      </c>
      <c r="AH47" s="78">
        <v>0.24</v>
      </c>
    </row>
    <row r="48" spans="1:34" x14ac:dyDescent="0.25">
      <c r="A48" s="2"/>
      <c r="W48" s="79"/>
      <c r="X48" s="79"/>
      <c r="Y48" s="79"/>
      <c r="Z48" s="79"/>
      <c r="AA48" s="79"/>
      <c r="AB48" s="79"/>
      <c r="AC48" s="79" t="s">
        <v>90</v>
      </c>
      <c r="AD48" s="79" t="s">
        <v>17</v>
      </c>
      <c r="AE48" s="79"/>
      <c r="AF48" s="79" t="s">
        <v>53</v>
      </c>
      <c r="AG48" s="79" t="s">
        <v>16</v>
      </c>
      <c r="AH48" s="78">
        <v>0.24</v>
      </c>
    </row>
    <row r="49" spans="1:34" x14ac:dyDescent="0.25">
      <c r="A49" s="2"/>
      <c r="W49" s="79"/>
      <c r="X49" s="79"/>
      <c r="Y49" s="79"/>
      <c r="Z49" s="79"/>
      <c r="AA49" s="79"/>
      <c r="AB49" s="79"/>
      <c r="AC49" s="79" t="s">
        <v>159</v>
      </c>
      <c r="AD49" s="79" t="s">
        <v>242</v>
      </c>
      <c r="AE49" s="79"/>
      <c r="AF49" s="79" t="s">
        <v>54</v>
      </c>
      <c r="AG49" s="79" t="s">
        <v>16</v>
      </c>
      <c r="AH49" s="78">
        <v>0.24</v>
      </c>
    </row>
    <row r="50" spans="1:34" x14ac:dyDescent="0.25">
      <c r="A50" s="2"/>
      <c r="W50" s="79"/>
      <c r="X50" s="79"/>
      <c r="Y50" s="79"/>
      <c r="Z50" s="79"/>
      <c r="AA50" s="79"/>
      <c r="AB50" s="79"/>
      <c r="AC50" s="79" t="s">
        <v>32</v>
      </c>
      <c r="AD50" s="79" t="s">
        <v>16</v>
      </c>
      <c r="AE50" s="79"/>
      <c r="AF50" s="79" t="s">
        <v>55</v>
      </c>
      <c r="AG50" s="79" t="s">
        <v>16</v>
      </c>
      <c r="AH50" s="78">
        <v>0.24</v>
      </c>
    </row>
    <row r="51" spans="1:34" x14ac:dyDescent="0.25">
      <c r="A51" s="2"/>
      <c r="W51" s="79"/>
      <c r="X51" s="79"/>
      <c r="Y51" s="79"/>
      <c r="Z51" s="79"/>
      <c r="AA51" s="79"/>
      <c r="AB51" s="79"/>
      <c r="AC51" s="79" t="s">
        <v>33</v>
      </c>
      <c r="AD51" s="79" t="s">
        <v>16</v>
      </c>
      <c r="AE51" s="79"/>
      <c r="AF51" s="79" t="s">
        <v>56</v>
      </c>
      <c r="AG51" s="79" t="s">
        <v>16</v>
      </c>
      <c r="AH51" s="78">
        <v>0.24</v>
      </c>
    </row>
    <row r="52" spans="1:34" x14ac:dyDescent="0.25">
      <c r="W52" s="79"/>
      <c r="X52" s="79"/>
      <c r="Y52" s="79"/>
      <c r="Z52" s="79"/>
      <c r="AA52" s="79"/>
      <c r="AB52" s="79"/>
      <c r="AC52" s="79" t="s">
        <v>91</v>
      </c>
      <c r="AD52" s="79" t="s">
        <v>17</v>
      </c>
      <c r="AE52" s="79"/>
      <c r="AF52" s="79" t="s">
        <v>57</v>
      </c>
      <c r="AG52" s="79" t="s">
        <v>16</v>
      </c>
      <c r="AH52" s="78">
        <v>0.24</v>
      </c>
    </row>
    <row r="53" spans="1:34" x14ac:dyDescent="0.25">
      <c r="W53" s="79"/>
      <c r="X53" s="79"/>
      <c r="Y53" s="79"/>
      <c r="Z53" s="79"/>
      <c r="AA53" s="79"/>
      <c r="AB53" s="79"/>
      <c r="AC53" s="79" t="s">
        <v>34</v>
      </c>
      <c r="AD53" s="79" t="s">
        <v>16</v>
      </c>
      <c r="AE53" s="79"/>
      <c r="AF53" s="79" t="s">
        <v>58</v>
      </c>
      <c r="AG53" s="79" t="s">
        <v>16</v>
      </c>
      <c r="AH53" s="78">
        <v>0.24</v>
      </c>
    </row>
    <row r="54" spans="1:34" x14ac:dyDescent="0.25">
      <c r="W54" s="79"/>
      <c r="X54" s="79"/>
      <c r="Y54" s="79"/>
      <c r="Z54" s="79"/>
      <c r="AA54" s="79"/>
      <c r="AB54" s="79"/>
      <c r="AC54" s="79" t="s">
        <v>199</v>
      </c>
      <c r="AD54" s="79" t="s">
        <v>722</v>
      </c>
      <c r="AE54" s="79"/>
      <c r="AF54" s="79" t="s">
        <v>59</v>
      </c>
      <c r="AG54" s="79" t="s">
        <v>16</v>
      </c>
      <c r="AH54" s="78">
        <v>0.24</v>
      </c>
    </row>
    <row r="55" spans="1:34" x14ac:dyDescent="0.25">
      <c r="W55" s="79"/>
      <c r="X55" s="79"/>
      <c r="Y55" s="79"/>
      <c r="Z55" s="79"/>
      <c r="AA55" s="79"/>
      <c r="AB55" s="79"/>
      <c r="AC55" s="79" t="s">
        <v>35</v>
      </c>
      <c r="AD55" s="79" t="s">
        <v>16</v>
      </c>
      <c r="AE55" s="79"/>
      <c r="AF55" s="79" t="s">
        <v>60</v>
      </c>
      <c r="AG55" s="79" t="s">
        <v>16</v>
      </c>
      <c r="AH55" s="78">
        <v>0.24</v>
      </c>
    </row>
    <row r="56" spans="1:34" x14ac:dyDescent="0.25">
      <c r="W56" s="79"/>
      <c r="X56" s="79"/>
      <c r="Y56" s="79"/>
      <c r="Z56" s="79"/>
      <c r="AA56" s="79"/>
      <c r="AB56" s="79"/>
      <c r="AC56" s="79" t="s">
        <v>200</v>
      </c>
      <c r="AD56" s="79" t="s">
        <v>722</v>
      </c>
      <c r="AE56" s="79"/>
      <c r="AF56" s="79" t="s">
        <v>61</v>
      </c>
      <c r="AG56" s="79" t="s">
        <v>16</v>
      </c>
      <c r="AH56" s="78">
        <v>0.24</v>
      </c>
    </row>
    <row r="57" spans="1:34" x14ac:dyDescent="0.25">
      <c r="W57" s="79"/>
      <c r="X57" s="79"/>
      <c r="Y57" s="79"/>
      <c r="Z57" s="79"/>
      <c r="AA57" s="79"/>
      <c r="AB57" s="79"/>
      <c r="AC57" s="79" t="s">
        <v>36</v>
      </c>
      <c r="AD57" s="79" t="s">
        <v>16</v>
      </c>
      <c r="AE57" s="79"/>
      <c r="AF57" s="79" t="s">
        <v>62</v>
      </c>
      <c r="AG57" s="79" t="s">
        <v>16</v>
      </c>
      <c r="AH57" s="78">
        <v>0.24</v>
      </c>
    </row>
    <row r="58" spans="1:34" x14ac:dyDescent="0.25">
      <c r="W58" s="79"/>
      <c r="X58" s="79"/>
      <c r="Y58" s="79"/>
      <c r="Z58" s="79"/>
      <c r="AA58" s="79"/>
      <c r="AB58" s="79"/>
      <c r="AC58" s="79" t="s">
        <v>37</v>
      </c>
      <c r="AD58" s="79" t="s">
        <v>16</v>
      </c>
      <c r="AE58" s="79"/>
      <c r="AF58" s="79" t="s">
        <v>63</v>
      </c>
      <c r="AG58" s="79" t="s">
        <v>16</v>
      </c>
      <c r="AH58" s="78">
        <v>0.24</v>
      </c>
    </row>
    <row r="59" spans="1:34" x14ac:dyDescent="0.25">
      <c r="W59" s="79"/>
      <c r="X59" s="79"/>
      <c r="Y59" s="79"/>
      <c r="Z59" s="79"/>
      <c r="AA59" s="79"/>
      <c r="AB59" s="79"/>
      <c r="AC59" s="79" t="s">
        <v>231</v>
      </c>
      <c r="AD59" s="79" t="s">
        <v>722</v>
      </c>
      <c r="AE59" s="79"/>
      <c r="AF59" s="79" t="s">
        <v>64</v>
      </c>
      <c r="AG59" s="79" t="s">
        <v>16</v>
      </c>
      <c r="AH59" s="78">
        <v>0.24</v>
      </c>
    </row>
    <row r="60" spans="1:34" x14ac:dyDescent="0.25">
      <c r="W60" s="79"/>
      <c r="X60" s="79"/>
      <c r="Y60" s="79"/>
      <c r="Z60" s="79"/>
      <c r="AA60" s="79"/>
      <c r="AB60" s="79"/>
      <c r="AC60" s="79" t="s">
        <v>92</v>
      </c>
      <c r="AD60" s="79" t="s">
        <v>17</v>
      </c>
      <c r="AE60" s="79"/>
      <c r="AF60" s="79" t="s">
        <v>65</v>
      </c>
      <c r="AG60" s="79" t="s">
        <v>16</v>
      </c>
      <c r="AH60" s="78">
        <v>0.24</v>
      </c>
    </row>
    <row r="61" spans="1:34" x14ac:dyDescent="0.25">
      <c r="W61" s="79"/>
      <c r="X61" s="79"/>
      <c r="Y61" s="79"/>
      <c r="Z61" s="79"/>
      <c r="AA61" s="79"/>
      <c r="AB61" s="79"/>
      <c r="AC61" s="79" t="s">
        <v>232</v>
      </c>
      <c r="AD61" s="79" t="s">
        <v>722</v>
      </c>
      <c r="AE61" s="79"/>
      <c r="AF61" s="79" t="s">
        <v>66</v>
      </c>
      <c r="AG61" s="79" t="s">
        <v>16</v>
      </c>
      <c r="AH61" s="78">
        <v>0.24</v>
      </c>
    </row>
    <row r="62" spans="1:34" x14ac:dyDescent="0.25">
      <c r="W62" s="79"/>
      <c r="X62" s="79"/>
      <c r="Y62" s="79"/>
      <c r="Z62" s="79"/>
      <c r="AA62" s="79"/>
      <c r="AB62" s="79"/>
      <c r="AC62" s="79" t="s">
        <v>38</v>
      </c>
      <c r="AD62" s="79" t="s">
        <v>16</v>
      </c>
      <c r="AE62" s="79"/>
      <c r="AF62" s="79" t="s">
        <v>67</v>
      </c>
      <c r="AG62" s="79" t="s">
        <v>16</v>
      </c>
      <c r="AH62" s="78">
        <v>0.24</v>
      </c>
    </row>
    <row r="63" spans="1:34" x14ac:dyDescent="0.25">
      <c r="W63" s="79"/>
      <c r="X63" s="79"/>
      <c r="Y63" s="79"/>
      <c r="Z63" s="79"/>
      <c r="AA63" s="79"/>
      <c r="AB63" s="79"/>
      <c r="AC63" s="79" t="s">
        <v>39</v>
      </c>
      <c r="AD63" s="79" t="s">
        <v>16</v>
      </c>
      <c r="AE63" s="79"/>
      <c r="AF63" s="79" t="s">
        <v>68</v>
      </c>
      <c r="AG63" s="79" t="s">
        <v>16</v>
      </c>
      <c r="AH63" s="78">
        <v>0.24</v>
      </c>
    </row>
    <row r="64" spans="1:34" x14ac:dyDescent="0.25">
      <c r="W64" s="79"/>
      <c r="X64" s="79"/>
      <c r="Y64" s="79"/>
      <c r="Z64" s="79"/>
      <c r="AA64" s="79"/>
      <c r="AB64" s="79"/>
      <c r="AC64" s="79" t="s">
        <v>135</v>
      </c>
      <c r="AD64" s="79" t="s">
        <v>18</v>
      </c>
      <c r="AE64" s="79"/>
      <c r="AF64" s="79" t="s">
        <v>69</v>
      </c>
      <c r="AG64" s="79" t="s">
        <v>16</v>
      </c>
      <c r="AH64" s="78">
        <v>0.24</v>
      </c>
    </row>
    <row r="65" spans="23:34" x14ac:dyDescent="0.25">
      <c r="W65" s="79"/>
      <c r="X65" s="79"/>
      <c r="Y65" s="79"/>
      <c r="Z65" s="79"/>
      <c r="AA65" s="79"/>
      <c r="AB65" s="79"/>
      <c r="AC65" s="79" t="s">
        <v>201</v>
      </c>
      <c r="AD65" s="79" t="s">
        <v>722</v>
      </c>
      <c r="AE65" s="79"/>
      <c r="AF65" s="79" t="s">
        <v>70</v>
      </c>
      <c r="AG65" s="79" t="s">
        <v>16</v>
      </c>
      <c r="AH65" s="78">
        <v>0.24</v>
      </c>
    </row>
    <row r="66" spans="23:34" x14ac:dyDescent="0.25">
      <c r="W66" s="79"/>
      <c r="X66" s="79"/>
      <c r="Y66" s="79"/>
      <c r="Z66" s="79"/>
      <c r="AA66" s="79"/>
      <c r="AB66" s="79"/>
      <c r="AC66" s="79" t="s">
        <v>40</v>
      </c>
      <c r="AD66" s="79" t="s">
        <v>16</v>
      </c>
      <c r="AE66" s="79"/>
      <c r="AF66" s="79" t="s">
        <v>71</v>
      </c>
      <c r="AG66" s="79" t="s">
        <v>16</v>
      </c>
      <c r="AH66" s="78">
        <v>0.24</v>
      </c>
    </row>
    <row r="67" spans="23:34" x14ac:dyDescent="0.25">
      <c r="W67" s="79"/>
      <c r="X67" s="79"/>
      <c r="Y67" s="79"/>
      <c r="Z67" s="79"/>
      <c r="AA67" s="79"/>
      <c r="AB67" s="79"/>
      <c r="AC67" s="79" t="s">
        <v>160</v>
      </c>
      <c r="AD67" s="79" t="s">
        <v>242</v>
      </c>
      <c r="AE67" s="79"/>
      <c r="AF67" s="79" t="s">
        <v>72</v>
      </c>
      <c r="AG67" s="79" t="s">
        <v>16</v>
      </c>
      <c r="AH67" s="78">
        <v>0.24</v>
      </c>
    </row>
    <row r="68" spans="23:34" x14ac:dyDescent="0.25">
      <c r="W68" s="79"/>
      <c r="X68" s="79"/>
      <c r="Y68" s="79"/>
      <c r="Z68" s="79"/>
      <c r="AA68" s="79"/>
      <c r="AB68" s="79"/>
      <c r="AC68" s="79" t="s">
        <v>202</v>
      </c>
      <c r="AD68" s="79" t="s">
        <v>722</v>
      </c>
      <c r="AE68" s="79"/>
      <c r="AF68" s="79" t="s">
        <v>73</v>
      </c>
      <c r="AG68" s="79" t="s">
        <v>16</v>
      </c>
      <c r="AH68" s="78">
        <v>0.24</v>
      </c>
    </row>
    <row r="69" spans="23:34" x14ac:dyDescent="0.25">
      <c r="W69" s="79"/>
      <c r="X69" s="79"/>
      <c r="Y69" s="79"/>
      <c r="Z69" s="79"/>
      <c r="AA69" s="79"/>
      <c r="AB69" s="79"/>
      <c r="AC69" s="79" t="s">
        <v>93</v>
      </c>
      <c r="AD69" s="79" t="s">
        <v>17</v>
      </c>
      <c r="AE69" s="79"/>
      <c r="AF69" s="79" t="s">
        <v>74</v>
      </c>
      <c r="AG69" s="79" t="s">
        <v>16</v>
      </c>
      <c r="AH69" s="78">
        <v>0.24</v>
      </c>
    </row>
    <row r="70" spans="23:34" x14ac:dyDescent="0.25">
      <c r="W70" s="79"/>
      <c r="X70" s="79"/>
      <c r="Y70" s="79"/>
      <c r="Z70" s="79"/>
      <c r="AA70" s="79"/>
      <c r="AB70" s="79"/>
      <c r="AC70" s="79" t="s">
        <v>161</v>
      </c>
      <c r="AD70" s="79" t="s">
        <v>242</v>
      </c>
      <c r="AE70" s="79"/>
      <c r="AF70" s="79" t="s">
        <v>75</v>
      </c>
      <c r="AG70" s="79" t="s">
        <v>16</v>
      </c>
      <c r="AH70" s="78">
        <v>0.24</v>
      </c>
    </row>
    <row r="71" spans="23:34" x14ac:dyDescent="0.25">
      <c r="W71" s="79"/>
      <c r="X71" s="79"/>
      <c r="Y71" s="79"/>
      <c r="Z71" s="79"/>
      <c r="AA71" s="79"/>
      <c r="AB71" s="79"/>
      <c r="AC71" s="79" t="s">
        <v>94</v>
      </c>
      <c r="AD71" s="79" t="s">
        <v>17</v>
      </c>
      <c r="AE71" s="79"/>
      <c r="AF71" s="79" t="s">
        <v>76</v>
      </c>
      <c r="AG71" s="79" t="s">
        <v>16</v>
      </c>
      <c r="AH71" s="78">
        <v>0.24</v>
      </c>
    </row>
    <row r="72" spans="23:34" x14ac:dyDescent="0.25">
      <c r="W72" s="79"/>
      <c r="X72" s="79"/>
      <c r="Y72" s="79"/>
      <c r="Z72" s="79"/>
      <c r="AA72" s="79"/>
      <c r="AB72" s="79"/>
      <c r="AC72" s="79" t="s">
        <v>41</v>
      </c>
      <c r="AD72" s="79" t="s">
        <v>16</v>
      </c>
      <c r="AE72" s="79"/>
      <c r="AF72" s="79" t="s">
        <v>77</v>
      </c>
      <c r="AG72" s="79" t="s">
        <v>16</v>
      </c>
      <c r="AH72" s="78">
        <v>0.24</v>
      </c>
    </row>
    <row r="73" spans="23:34" x14ac:dyDescent="0.25">
      <c r="W73" s="79"/>
      <c r="X73" s="79"/>
      <c r="Y73" s="79"/>
      <c r="Z73" s="79"/>
      <c r="AA73" s="79"/>
      <c r="AB73" s="79"/>
      <c r="AC73" s="79" t="s">
        <v>162</v>
      </c>
      <c r="AD73" s="79" t="s">
        <v>242</v>
      </c>
      <c r="AE73" s="79"/>
      <c r="AF73" s="79" t="s">
        <v>78</v>
      </c>
      <c r="AG73" s="79" t="s">
        <v>16</v>
      </c>
      <c r="AH73" s="78">
        <v>0.24</v>
      </c>
    </row>
    <row r="74" spans="23:34" x14ac:dyDescent="0.25">
      <c r="W74" s="79"/>
      <c r="X74" s="79"/>
      <c r="Y74" s="79"/>
      <c r="Z74" s="79"/>
      <c r="AA74" s="79"/>
      <c r="AB74" s="79"/>
      <c r="AC74" s="79" t="s">
        <v>42</v>
      </c>
      <c r="AD74" s="79" t="s">
        <v>16</v>
      </c>
      <c r="AE74" s="79"/>
      <c r="AF74" s="79" t="s">
        <v>79</v>
      </c>
      <c r="AG74" s="79" t="s">
        <v>16</v>
      </c>
      <c r="AH74" s="78">
        <v>0.24</v>
      </c>
    </row>
    <row r="75" spans="23:34" x14ac:dyDescent="0.25">
      <c r="W75" s="79"/>
      <c r="X75" s="79"/>
      <c r="Y75" s="79"/>
      <c r="Z75" s="79"/>
      <c r="AA75" s="79"/>
      <c r="AB75" s="79"/>
      <c r="AC75" s="79" t="s">
        <v>203</v>
      </c>
      <c r="AD75" s="79" t="s">
        <v>722</v>
      </c>
      <c r="AE75" s="79"/>
      <c r="AF75" s="79" t="s">
        <v>80</v>
      </c>
      <c r="AG75" s="79" t="s">
        <v>16</v>
      </c>
      <c r="AH75" s="78">
        <v>0.24</v>
      </c>
    </row>
    <row r="76" spans="23:34" x14ac:dyDescent="0.25">
      <c r="W76" s="79"/>
      <c r="X76" s="79"/>
      <c r="Y76" s="79"/>
      <c r="Z76" s="79"/>
      <c r="AA76" s="79"/>
      <c r="AB76" s="79"/>
      <c r="AC76" s="79" t="s">
        <v>204</v>
      </c>
      <c r="AD76" s="79" t="s">
        <v>722</v>
      </c>
      <c r="AE76" s="79"/>
      <c r="AF76" s="79" t="s">
        <v>81</v>
      </c>
      <c r="AG76" s="79" t="s">
        <v>16</v>
      </c>
      <c r="AH76" s="78">
        <v>0.24</v>
      </c>
    </row>
    <row r="77" spans="23:34" x14ac:dyDescent="0.25">
      <c r="W77" s="79"/>
      <c r="X77" s="79"/>
      <c r="Y77" s="79"/>
      <c r="Z77" s="79"/>
      <c r="AA77" s="79"/>
      <c r="AB77" s="79"/>
      <c r="AC77" s="79" t="s">
        <v>95</v>
      </c>
      <c r="AD77" s="79" t="s">
        <v>17</v>
      </c>
      <c r="AE77" s="79"/>
      <c r="AF77" s="79" t="s">
        <v>82</v>
      </c>
      <c r="AG77" s="79" t="s">
        <v>16</v>
      </c>
      <c r="AH77" s="78">
        <v>0.24</v>
      </c>
    </row>
    <row r="78" spans="23:34" x14ac:dyDescent="0.25">
      <c r="W78" s="79"/>
      <c r="X78" s="79"/>
      <c r="Y78" s="79"/>
      <c r="Z78" s="79"/>
      <c r="AA78" s="79"/>
      <c r="AB78" s="79"/>
      <c r="AC78" s="79" t="s">
        <v>233</v>
      </c>
      <c r="AD78" s="79" t="s">
        <v>722</v>
      </c>
      <c r="AE78" s="79"/>
      <c r="AF78" s="79" t="s">
        <v>83</v>
      </c>
      <c r="AG78" s="79" t="s">
        <v>16</v>
      </c>
      <c r="AH78" s="78">
        <v>0.24</v>
      </c>
    </row>
    <row r="79" spans="23:34" x14ac:dyDescent="0.25">
      <c r="W79" s="79"/>
      <c r="X79" s="79"/>
      <c r="Y79" s="79"/>
      <c r="Z79" s="79"/>
      <c r="AA79" s="79"/>
      <c r="AB79" s="79"/>
      <c r="AC79" s="79" t="s">
        <v>43</v>
      </c>
      <c r="AD79" s="79" t="s">
        <v>16</v>
      </c>
      <c r="AE79" s="79"/>
      <c r="AF79" s="79"/>
      <c r="AG79" s="79"/>
      <c r="AH79" s="78">
        <v>0.24</v>
      </c>
    </row>
    <row r="80" spans="23:34" x14ac:dyDescent="0.25">
      <c r="W80" s="79"/>
      <c r="X80" s="79"/>
      <c r="Y80" s="79"/>
      <c r="Z80" s="79"/>
      <c r="AA80" s="79"/>
      <c r="AB80" s="79"/>
      <c r="AC80" s="79" t="s">
        <v>205</v>
      </c>
      <c r="AD80" s="79" t="s">
        <v>722</v>
      </c>
      <c r="AE80" s="79"/>
      <c r="AF80" s="79" t="s">
        <v>1423</v>
      </c>
      <c r="AG80" s="79"/>
      <c r="AH80" s="78">
        <v>0.24</v>
      </c>
    </row>
    <row r="81" spans="23:34" x14ac:dyDescent="0.25">
      <c r="W81" s="79"/>
      <c r="X81" s="79"/>
      <c r="Y81" s="79"/>
      <c r="Z81" s="79"/>
      <c r="AA81" s="79"/>
      <c r="AB81" s="79"/>
      <c r="AC81" s="79" t="s">
        <v>44</v>
      </c>
      <c r="AD81" s="79" t="s">
        <v>16</v>
      </c>
      <c r="AE81" s="79"/>
      <c r="AF81" s="79" t="s">
        <v>84</v>
      </c>
      <c r="AG81" s="79" t="s">
        <v>17</v>
      </c>
      <c r="AH81" s="78">
        <v>0.24</v>
      </c>
    </row>
    <row r="82" spans="23:34" x14ac:dyDescent="0.25">
      <c r="W82" s="79"/>
      <c r="X82" s="79"/>
      <c r="Y82" s="79"/>
      <c r="Z82" s="79"/>
      <c r="AA82" s="79"/>
      <c r="AB82" s="79"/>
      <c r="AC82" s="79" t="s">
        <v>45</v>
      </c>
      <c r="AD82" s="79" t="s">
        <v>16</v>
      </c>
      <c r="AE82" s="79"/>
      <c r="AF82" s="79" t="s">
        <v>85</v>
      </c>
      <c r="AG82" s="79" t="s">
        <v>17</v>
      </c>
      <c r="AH82" s="78">
        <v>0.24</v>
      </c>
    </row>
    <row r="83" spans="23:34" x14ac:dyDescent="0.25">
      <c r="W83" s="79"/>
      <c r="X83" s="79"/>
      <c r="Y83" s="79"/>
      <c r="Z83" s="79"/>
      <c r="AA83" s="79"/>
      <c r="AB83" s="79"/>
      <c r="AC83" s="79" t="s">
        <v>163</v>
      </c>
      <c r="AD83" s="79" t="s">
        <v>242</v>
      </c>
      <c r="AE83" s="79"/>
      <c r="AF83" s="79" t="s">
        <v>86</v>
      </c>
      <c r="AG83" s="79" t="s">
        <v>17</v>
      </c>
      <c r="AH83" s="78">
        <v>0.24</v>
      </c>
    </row>
    <row r="84" spans="23:34" x14ac:dyDescent="0.25">
      <c r="W84" s="79"/>
      <c r="X84" s="79"/>
      <c r="Y84" s="79"/>
      <c r="Z84" s="79"/>
      <c r="AA84" s="79"/>
      <c r="AB84" s="79"/>
      <c r="AC84" s="79" t="s">
        <v>46</v>
      </c>
      <c r="AD84" s="79" t="s">
        <v>16</v>
      </c>
      <c r="AE84" s="79"/>
      <c r="AF84" s="79" t="s">
        <v>87</v>
      </c>
      <c r="AG84" s="79" t="s">
        <v>17</v>
      </c>
      <c r="AH84" s="78">
        <v>0.24</v>
      </c>
    </row>
    <row r="85" spans="23:34" x14ac:dyDescent="0.25">
      <c r="W85" s="79"/>
      <c r="X85" s="79"/>
      <c r="Y85" s="79"/>
      <c r="Z85" s="79"/>
      <c r="AA85" s="79"/>
      <c r="AB85" s="79"/>
      <c r="AC85" s="79" t="s">
        <v>234</v>
      </c>
      <c r="AD85" s="79" t="s">
        <v>722</v>
      </c>
      <c r="AE85" s="79"/>
      <c r="AF85" s="79" t="s">
        <v>88</v>
      </c>
      <c r="AG85" s="79" t="s">
        <v>17</v>
      </c>
      <c r="AH85" s="78">
        <v>0.24</v>
      </c>
    </row>
    <row r="86" spans="23:34" x14ac:dyDescent="0.25">
      <c r="W86" s="79"/>
      <c r="X86" s="79"/>
      <c r="Y86" s="79"/>
      <c r="Z86" s="79"/>
      <c r="AA86" s="79"/>
      <c r="AB86" s="79"/>
      <c r="AC86" s="79" t="s">
        <v>136</v>
      </c>
      <c r="AD86" s="79" t="s">
        <v>18</v>
      </c>
      <c r="AE86" s="79"/>
      <c r="AF86" s="79" t="s">
        <v>89</v>
      </c>
      <c r="AG86" s="79" t="s">
        <v>17</v>
      </c>
      <c r="AH86" s="78">
        <v>0.24</v>
      </c>
    </row>
    <row r="87" spans="23:34" x14ac:dyDescent="0.25">
      <c r="W87" s="79"/>
      <c r="X87" s="79"/>
      <c r="Y87" s="79"/>
      <c r="Z87" s="79"/>
      <c r="AA87" s="79"/>
      <c r="AB87" s="79"/>
      <c r="AC87" s="79" t="s">
        <v>164</v>
      </c>
      <c r="AD87" s="79" t="s">
        <v>242</v>
      </c>
      <c r="AE87" s="79"/>
      <c r="AF87" s="79" t="s">
        <v>90</v>
      </c>
      <c r="AG87" s="79" t="s">
        <v>17</v>
      </c>
      <c r="AH87" s="78">
        <v>0.24</v>
      </c>
    </row>
    <row r="88" spans="23:34" x14ac:dyDescent="0.25">
      <c r="W88" s="79"/>
      <c r="X88" s="79"/>
      <c r="Y88" s="79"/>
      <c r="Z88" s="79"/>
      <c r="AA88" s="79"/>
      <c r="AB88" s="79"/>
      <c r="AC88" s="79" t="s">
        <v>165</v>
      </c>
      <c r="AD88" s="79" t="s">
        <v>242</v>
      </c>
      <c r="AE88" s="79"/>
      <c r="AF88" s="79" t="s">
        <v>91</v>
      </c>
      <c r="AG88" s="79" t="s">
        <v>17</v>
      </c>
      <c r="AH88" s="78">
        <v>0.24</v>
      </c>
    </row>
    <row r="89" spans="23:34" x14ac:dyDescent="0.25">
      <c r="W89" s="79"/>
      <c r="X89" s="79"/>
      <c r="Y89" s="79"/>
      <c r="Z89" s="79"/>
      <c r="AA89" s="79"/>
      <c r="AB89" s="79"/>
      <c r="AC89" s="79" t="s">
        <v>235</v>
      </c>
      <c r="AD89" s="79" t="s">
        <v>722</v>
      </c>
      <c r="AE89" s="79"/>
      <c r="AF89" s="79" t="s">
        <v>92</v>
      </c>
      <c r="AG89" s="79" t="s">
        <v>17</v>
      </c>
      <c r="AH89" s="78">
        <v>0.24</v>
      </c>
    </row>
    <row r="90" spans="23:34" x14ac:dyDescent="0.25">
      <c r="W90" s="79"/>
      <c r="X90" s="79"/>
      <c r="Y90" s="79"/>
      <c r="Z90" s="79"/>
      <c r="AA90" s="79"/>
      <c r="AB90" s="79"/>
      <c r="AC90" s="79" t="s">
        <v>137</v>
      </c>
      <c r="AD90" s="79" t="s">
        <v>18</v>
      </c>
      <c r="AE90" s="79"/>
      <c r="AF90" s="79" t="s">
        <v>93</v>
      </c>
      <c r="AG90" s="79" t="s">
        <v>17</v>
      </c>
      <c r="AH90" s="78">
        <v>0.19</v>
      </c>
    </row>
    <row r="91" spans="23:34" x14ac:dyDescent="0.25">
      <c r="W91" s="79"/>
      <c r="X91" s="79"/>
      <c r="Y91" s="79"/>
      <c r="Z91" s="79"/>
      <c r="AA91" s="79"/>
      <c r="AB91" s="79"/>
      <c r="AC91" s="79" t="s">
        <v>47</v>
      </c>
      <c r="AD91" s="79" t="s">
        <v>16</v>
      </c>
      <c r="AE91" s="79"/>
      <c r="AF91" s="79" t="s">
        <v>94</v>
      </c>
      <c r="AG91" s="79" t="s">
        <v>17</v>
      </c>
      <c r="AH91" s="78">
        <v>0.24</v>
      </c>
    </row>
    <row r="92" spans="23:34" x14ac:dyDescent="0.25">
      <c r="W92" s="79"/>
      <c r="X92" s="79"/>
      <c r="Y92" s="79"/>
      <c r="Z92" s="79"/>
      <c r="AA92" s="79"/>
      <c r="AB92" s="79"/>
      <c r="AC92" s="79" t="s">
        <v>48</v>
      </c>
      <c r="AD92" s="79" t="s">
        <v>16</v>
      </c>
      <c r="AE92" s="79"/>
      <c r="AF92" s="79" t="s">
        <v>95</v>
      </c>
      <c r="AG92" s="79" t="s">
        <v>17</v>
      </c>
      <c r="AH92" s="78">
        <v>0.24</v>
      </c>
    </row>
    <row r="93" spans="23:34" x14ac:dyDescent="0.25">
      <c r="W93" s="79"/>
      <c r="X93" s="79"/>
      <c r="Y93" s="79"/>
      <c r="Z93" s="79"/>
      <c r="AA93" s="79"/>
      <c r="AB93" s="79"/>
      <c r="AC93" s="79" t="s">
        <v>96</v>
      </c>
      <c r="AD93" s="79" t="s">
        <v>17</v>
      </c>
      <c r="AE93" s="79"/>
      <c r="AF93" s="79" t="s">
        <v>96</v>
      </c>
      <c r="AG93" s="79" t="s">
        <v>17</v>
      </c>
      <c r="AH93" s="78">
        <v>0.24</v>
      </c>
    </row>
    <row r="94" spans="23:34" x14ac:dyDescent="0.25">
      <c r="W94" s="79"/>
      <c r="X94" s="79"/>
      <c r="Y94" s="79"/>
      <c r="Z94" s="79"/>
      <c r="AA94" s="79"/>
      <c r="AB94" s="79"/>
      <c r="AC94" s="79" t="s">
        <v>97</v>
      </c>
      <c r="AD94" s="79" t="s">
        <v>17</v>
      </c>
      <c r="AE94" s="79"/>
      <c r="AF94" s="79" t="s">
        <v>97</v>
      </c>
      <c r="AG94" s="79" t="s">
        <v>17</v>
      </c>
      <c r="AH94" s="78">
        <v>0.24</v>
      </c>
    </row>
    <row r="95" spans="23:34" x14ac:dyDescent="0.25">
      <c r="W95" s="79"/>
      <c r="X95" s="79"/>
      <c r="Y95" s="79"/>
      <c r="Z95" s="79"/>
      <c r="AA95" s="79"/>
      <c r="AB95" s="79"/>
      <c r="AC95" s="79" t="s">
        <v>166</v>
      </c>
      <c r="AD95" s="79" t="s">
        <v>242</v>
      </c>
      <c r="AE95" s="79"/>
      <c r="AF95" s="79" t="s">
        <v>98</v>
      </c>
      <c r="AG95" s="79" t="s">
        <v>17</v>
      </c>
      <c r="AH95" s="78">
        <v>0.24</v>
      </c>
    </row>
    <row r="96" spans="23:34" x14ac:dyDescent="0.25">
      <c r="W96" s="79"/>
      <c r="X96" s="79"/>
      <c r="Y96" s="79"/>
      <c r="Z96" s="79"/>
      <c r="AA96" s="79"/>
      <c r="AB96" s="79"/>
      <c r="AC96" s="79" t="s">
        <v>49</v>
      </c>
      <c r="AD96" s="79" t="s">
        <v>16</v>
      </c>
      <c r="AE96" s="79"/>
      <c r="AF96" s="79" t="s">
        <v>99</v>
      </c>
      <c r="AG96" s="79" t="s">
        <v>17</v>
      </c>
      <c r="AH96" s="78">
        <v>0.24</v>
      </c>
    </row>
    <row r="97" spans="23:34" x14ac:dyDescent="0.25">
      <c r="W97" s="79"/>
      <c r="X97" s="79"/>
      <c r="Y97" s="79"/>
      <c r="Z97" s="79"/>
      <c r="AA97" s="79"/>
      <c r="AB97" s="79"/>
      <c r="AC97" s="79" t="s">
        <v>167</v>
      </c>
      <c r="AD97" s="79" t="s">
        <v>242</v>
      </c>
      <c r="AE97" s="79"/>
      <c r="AF97" s="79" t="s">
        <v>100</v>
      </c>
      <c r="AG97" s="79" t="s">
        <v>17</v>
      </c>
      <c r="AH97" s="78">
        <v>0.24</v>
      </c>
    </row>
    <row r="98" spans="23:34" x14ac:dyDescent="0.25">
      <c r="W98" s="79"/>
      <c r="X98" s="79"/>
      <c r="Y98" s="79"/>
      <c r="Z98" s="79"/>
      <c r="AA98" s="79"/>
      <c r="AB98" s="79"/>
      <c r="AC98" s="79" t="s">
        <v>206</v>
      </c>
      <c r="AD98" s="79" t="s">
        <v>722</v>
      </c>
      <c r="AE98" s="79"/>
      <c r="AF98" s="79" t="s">
        <v>101</v>
      </c>
      <c r="AG98" s="79" t="s">
        <v>17</v>
      </c>
      <c r="AH98" s="78">
        <v>0.24</v>
      </c>
    </row>
    <row r="99" spans="23:34" x14ac:dyDescent="0.25">
      <c r="W99" s="79"/>
      <c r="X99" s="79"/>
      <c r="Y99" s="79"/>
      <c r="Z99" s="79"/>
      <c r="AA99" s="79"/>
      <c r="AB99" s="79"/>
      <c r="AC99" s="79" t="s">
        <v>207</v>
      </c>
      <c r="AD99" s="79" t="s">
        <v>722</v>
      </c>
      <c r="AE99" s="79"/>
      <c r="AF99" s="79" t="s">
        <v>102</v>
      </c>
      <c r="AG99" s="79" t="s">
        <v>17</v>
      </c>
      <c r="AH99" s="78">
        <v>0.24</v>
      </c>
    </row>
    <row r="100" spans="23:34" x14ac:dyDescent="0.25">
      <c r="W100" s="79"/>
      <c r="X100" s="79"/>
      <c r="Y100" s="79"/>
      <c r="Z100" s="79"/>
      <c r="AA100" s="79"/>
      <c r="AB100" s="79"/>
      <c r="AC100" s="79" t="s">
        <v>208</v>
      </c>
      <c r="AD100" s="79" t="s">
        <v>722</v>
      </c>
      <c r="AE100" s="79"/>
      <c r="AF100" s="79" t="s">
        <v>103</v>
      </c>
      <c r="AG100" s="79" t="s">
        <v>17</v>
      </c>
      <c r="AH100" s="78">
        <v>0.19</v>
      </c>
    </row>
    <row r="101" spans="23:34" x14ac:dyDescent="0.25">
      <c r="W101" s="79"/>
      <c r="X101" s="79"/>
      <c r="Y101" s="79"/>
      <c r="Z101" s="79"/>
      <c r="AA101" s="79"/>
      <c r="AB101" s="79"/>
      <c r="AC101" s="79" t="s">
        <v>138</v>
      </c>
      <c r="AD101" s="79" t="s">
        <v>18</v>
      </c>
      <c r="AE101" s="79"/>
      <c r="AF101" s="79" t="s">
        <v>104</v>
      </c>
      <c r="AG101" s="79" t="s">
        <v>17</v>
      </c>
      <c r="AH101" s="78">
        <v>0.24</v>
      </c>
    </row>
    <row r="102" spans="23:34" x14ac:dyDescent="0.25">
      <c r="W102" s="79"/>
      <c r="X102" s="79"/>
      <c r="Y102" s="79"/>
      <c r="Z102" s="79"/>
      <c r="AA102" s="79"/>
      <c r="AB102" s="79"/>
      <c r="AC102" s="79" t="s">
        <v>209</v>
      </c>
      <c r="AD102" s="79" t="s">
        <v>722</v>
      </c>
      <c r="AE102" s="79"/>
      <c r="AF102" s="79" t="s">
        <v>105</v>
      </c>
      <c r="AG102" s="79" t="s">
        <v>17</v>
      </c>
      <c r="AH102" s="78">
        <v>0.24</v>
      </c>
    </row>
    <row r="103" spans="23:34" x14ac:dyDescent="0.25">
      <c r="W103" s="79"/>
      <c r="X103" s="79"/>
      <c r="Y103" s="79"/>
      <c r="Z103" s="79"/>
      <c r="AA103" s="79"/>
      <c r="AB103" s="79"/>
      <c r="AC103" s="79" t="s">
        <v>50</v>
      </c>
      <c r="AD103" s="79" t="s">
        <v>16</v>
      </c>
      <c r="AE103" s="79"/>
      <c r="AF103" s="79" t="s">
        <v>106</v>
      </c>
      <c r="AG103" s="79" t="s">
        <v>17</v>
      </c>
      <c r="AH103" s="78">
        <v>0.24</v>
      </c>
    </row>
    <row r="104" spans="23:34" x14ac:dyDescent="0.25">
      <c r="W104" s="79"/>
      <c r="X104" s="79"/>
      <c r="Y104" s="79"/>
      <c r="Z104" s="79"/>
      <c r="AA104" s="79"/>
      <c r="AB104" s="79"/>
      <c r="AC104" s="79" t="s">
        <v>51</v>
      </c>
      <c r="AD104" s="79" t="s">
        <v>16</v>
      </c>
      <c r="AE104" s="79"/>
      <c r="AF104" s="79" t="s">
        <v>107</v>
      </c>
      <c r="AG104" s="79" t="s">
        <v>17</v>
      </c>
      <c r="AH104" s="78">
        <v>0.24</v>
      </c>
    </row>
    <row r="105" spans="23:34" x14ac:dyDescent="0.25">
      <c r="W105" s="79"/>
      <c r="X105" s="79"/>
      <c r="Y105" s="79"/>
      <c r="Z105" s="79"/>
      <c r="AA105" s="79"/>
      <c r="AB105" s="79"/>
      <c r="AC105" s="79" t="s">
        <v>236</v>
      </c>
      <c r="AD105" s="79" t="s">
        <v>722</v>
      </c>
      <c r="AE105" s="79"/>
      <c r="AF105" s="79" t="s">
        <v>108</v>
      </c>
      <c r="AG105" s="79" t="s">
        <v>17</v>
      </c>
      <c r="AH105" s="78">
        <v>0.24</v>
      </c>
    </row>
    <row r="106" spans="23:34" x14ac:dyDescent="0.25">
      <c r="W106" s="79"/>
      <c r="X106" s="79"/>
      <c r="Y106" s="79"/>
      <c r="Z106" s="79"/>
      <c r="AA106" s="79"/>
      <c r="AB106" s="79"/>
      <c r="AC106" s="79" t="s">
        <v>210</v>
      </c>
      <c r="AD106" s="79" t="s">
        <v>722</v>
      </c>
      <c r="AE106" s="79"/>
      <c r="AF106" s="79" t="s">
        <v>109</v>
      </c>
      <c r="AG106" s="79" t="s">
        <v>17</v>
      </c>
      <c r="AH106" s="78">
        <v>0.24</v>
      </c>
    </row>
    <row r="107" spans="23:34" x14ac:dyDescent="0.25">
      <c r="W107" s="79"/>
      <c r="X107" s="79"/>
      <c r="Y107" s="79"/>
      <c r="Z107" s="79"/>
      <c r="AA107" s="79"/>
      <c r="AB107" s="79"/>
      <c r="AC107" s="79" t="s">
        <v>211</v>
      </c>
      <c r="AD107" s="79" t="s">
        <v>722</v>
      </c>
      <c r="AE107" s="79"/>
      <c r="AF107" s="79" t="s">
        <v>110</v>
      </c>
      <c r="AG107" s="79" t="s">
        <v>17</v>
      </c>
      <c r="AH107" s="78">
        <v>0.24</v>
      </c>
    </row>
    <row r="108" spans="23:34" x14ac:dyDescent="0.25">
      <c r="W108" s="79"/>
      <c r="X108" s="79"/>
      <c r="Y108" s="79"/>
      <c r="Z108" s="79"/>
      <c r="AA108" s="79"/>
      <c r="AB108" s="79"/>
      <c r="AC108" s="79" t="s">
        <v>168</v>
      </c>
      <c r="AD108" s="79" t="s">
        <v>242</v>
      </c>
      <c r="AE108" s="79"/>
      <c r="AF108" s="79" t="s">
        <v>111</v>
      </c>
      <c r="AG108" s="79" t="s">
        <v>17</v>
      </c>
      <c r="AH108" s="78">
        <v>0.24</v>
      </c>
    </row>
    <row r="109" spans="23:34" x14ac:dyDescent="0.25">
      <c r="W109" s="79"/>
      <c r="X109" s="79"/>
      <c r="Y109" s="79"/>
      <c r="Z109" s="79"/>
      <c r="AA109" s="79"/>
      <c r="AB109" s="79"/>
      <c r="AC109" s="79" t="s">
        <v>169</v>
      </c>
      <c r="AD109" s="79" t="s">
        <v>242</v>
      </c>
      <c r="AE109" s="79"/>
      <c r="AF109" s="79" t="s">
        <v>112</v>
      </c>
      <c r="AG109" s="79" t="s">
        <v>17</v>
      </c>
      <c r="AH109" s="78">
        <v>0.24</v>
      </c>
    </row>
    <row r="110" spans="23:34" x14ac:dyDescent="0.25">
      <c r="W110" s="79"/>
      <c r="X110" s="79"/>
      <c r="Y110" s="79"/>
      <c r="Z110" s="79"/>
      <c r="AA110" s="79"/>
      <c r="AB110" s="79"/>
      <c r="AC110" s="79" t="s">
        <v>98</v>
      </c>
      <c r="AD110" s="79" t="s">
        <v>17</v>
      </c>
      <c r="AE110" s="79"/>
      <c r="AF110" s="79" t="s">
        <v>113</v>
      </c>
      <c r="AG110" s="79" t="s">
        <v>17</v>
      </c>
      <c r="AH110" s="78">
        <v>0.24</v>
      </c>
    </row>
    <row r="111" spans="23:34" x14ac:dyDescent="0.25">
      <c r="W111" s="79"/>
      <c r="X111" s="79"/>
      <c r="Y111" s="79"/>
      <c r="Z111" s="79"/>
      <c r="AA111" s="79"/>
      <c r="AB111" s="79"/>
      <c r="AC111" s="79" t="s">
        <v>99</v>
      </c>
      <c r="AD111" s="79" t="s">
        <v>17</v>
      </c>
      <c r="AE111" s="79"/>
      <c r="AF111" s="79" t="s">
        <v>114</v>
      </c>
      <c r="AG111" s="79" t="s">
        <v>17</v>
      </c>
      <c r="AH111" s="78">
        <v>0.24</v>
      </c>
    </row>
    <row r="112" spans="23:34" x14ac:dyDescent="0.25">
      <c r="W112" s="79"/>
      <c r="X112" s="79"/>
      <c r="Y112" s="79"/>
      <c r="Z112" s="79"/>
      <c r="AA112" s="79"/>
      <c r="AB112" s="79"/>
      <c r="AC112" s="79" t="s">
        <v>100</v>
      </c>
      <c r="AD112" s="79" t="s">
        <v>17</v>
      </c>
      <c r="AE112" s="79"/>
      <c r="AF112" s="79" t="s">
        <v>115</v>
      </c>
      <c r="AG112" s="79" t="s">
        <v>17</v>
      </c>
      <c r="AH112" s="78">
        <v>0.24</v>
      </c>
    </row>
    <row r="113" spans="23:34" x14ac:dyDescent="0.25">
      <c r="W113" s="79"/>
      <c r="X113" s="79"/>
      <c r="Y113" s="79"/>
      <c r="Z113" s="79"/>
      <c r="AA113" s="79"/>
      <c r="AB113" s="79"/>
      <c r="AC113" s="79" t="s">
        <v>101</v>
      </c>
      <c r="AD113" s="79" t="s">
        <v>17</v>
      </c>
      <c r="AE113" s="79"/>
      <c r="AF113" s="79" t="s">
        <v>116</v>
      </c>
      <c r="AG113" s="79" t="s">
        <v>17</v>
      </c>
      <c r="AH113" s="78">
        <v>0.24</v>
      </c>
    </row>
    <row r="114" spans="23:34" x14ac:dyDescent="0.25">
      <c r="W114" s="79"/>
      <c r="X114" s="79"/>
      <c r="Y114" s="79"/>
      <c r="Z114" s="79"/>
      <c r="AA114" s="79"/>
      <c r="AB114" s="79"/>
      <c r="AC114" s="79" t="s">
        <v>170</v>
      </c>
      <c r="AD114" s="79" t="s">
        <v>242</v>
      </c>
      <c r="AE114" s="79"/>
      <c r="AF114" s="79" t="s">
        <v>117</v>
      </c>
      <c r="AG114" s="79" t="s">
        <v>17</v>
      </c>
      <c r="AH114" s="78">
        <v>0.24</v>
      </c>
    </row>
    <row r="115" spans="23:34" x14ac:dyDescent="0.25">
      <c r="W115" s="79"/>
      <c r="X115" s="79"/>
      <c r="Y115" s="79"/>
      <c r="Z115" s="79"/>
      <c r="AA115" s="79"/>
      <c r="AB115" s="79"/>
      <c r="AC115" s="79" t="s">
        <v>102</v>
      </c>
      <c r="AD115" s="79" t="s">
        <v>17</v>
      </c>
      <c r="AE115" s="79"/>
      <c r="AF115" s="79" t="s">
        <v>118</v>
      </c>
      <c r="AG115" s="79" t="s">
        <v>17</v>
      </c>
      <c r="AH115" s="78">
        <v>0.24</v>
      </c>
    </row>
    <row r="116" spans="23:34" x14ac:dyDescent="0.25">
      <c r="W116" s="79"/>
      <c r="X116" s="79"/>
      <c r="Y116" s="79"/>
      <c r="Z116" s="79"/>
      <c r="AA116" s="79"/>
      <c r="AB116" s="79"/>
      <c r="AC116" s="79" t="s">
        <v>171</v>
      </c>
      <c r="AD116" s="79" t="s">
        <v>242</v>
      </c>
      <c r="AE116" s="79"/>
      <c r="AF116" s="79" t="s">
        <v>119</v>
      </c>
      <c r="AG116" s="79" t="s">
        <v>17</v>
      </c>
      <c r="AH116" s="78">
        <v>0.24</v>
      </c>
    </row>
    <row r="117" spans="23:34" x14ac:dyDescent="0.25">
      <c r="W117" s="79"/>
      <c r="X117" s="79"/>
      <c r="Y117" s="79"/>
      <c r="Z117" s="79"/>
      <c r="AA117" s="79"/>
      <c r="AB117" s="79"/>
      <c r="AC117" s="79" t="s">
        <v>212</v>
      </c>
      <c r="AD117" s="79" t="s">
        <v>722</v>
      </c>
      <c r="AE117" s="79"/>
      <c r="AF117" s="79" t="s">
        <v>120</v>
      </c>
      <c r="AG117" s="79" t="s">
        <v>17</v>
      </c>
      <c r="AH117" s="78">
        <v>0.24</v>
      </c>
    </row>
    <row r="118" spans="23:34" x14ac:dyDescent="0.25">
      <c r="W118" s="79"/>
      <c r="X118" s="79"/>
      <c r="Y118" s="79"/>
      <c r="Z118" s="79"/>
      <c r="AA118" s="79"/>
      <c r="AB118" s="79"/>
      <c r="AC118" s="79" t="s">
        <v>103</v>
      </c>
      <c r="AD118" s="79" t="s">
        <v>17</v>
      </c>
      <c r="AE118" s="79"/>
      <c r="AF118" s="79" t="s">
        <v>121</v>
      </c>
      <c r="AG118" s="79" t="s">
        <v>17</v>
      </c>
      <c r="AH118" s="78">
        <v>0.24</v>
      </c>
    </row>
    <row r="119" spans="23:34" x14ac:dyDescent="0.25">
      <c r="W119" s="79"/>
      <c r="X119" s="79"/>
      <c r="Y119" s="79"/>
      <c r="Z119" s="79"/>
      <c r="AA119" s="79"/>
      <c r="AB119" s="79"/>
      <c r="AC119" s="79" t="s">
        <v>104</v>
      </c>
      <c r="AD119" s="79" t="s">
        <v>17</v>
      </c>
      <c r="AE119" s="79"/>
      <c r="AF119" s="79" t="s">
        <v>122</v>
      </c>
      <c r="AG119" s="79" t="s">
        <v>17</v>
      </c>
      <c r="AH119" s="78">
        <v>0.24</v>
      </c>
    </row>
    <row r="120" spans="23:34" x14ac:dyDescent="0.25">
      <c r="W120" s="79"/>
      <c r="X120" s="79"/>
      <c r="Y120" s="79"/>
      <c r="Z120" s="79"/>
      <c r="AA120" s="79"/>
      <c r="AB120" s="79"/>
      <c r="AC120" s="79" t="s">
        <v>105</v>
      </c>
      <c r="AD120" s="79" t="s">
        <v>17</v>
      </c>
      <c r="AE120" s="79"/>
      <c r="AF120" s="79" t="s">
        <v>123</v>
      </c>
      <c r="AG120" s="79" t="s">
        <v>17</v>
      </c>
      <c r="AH120" s="78">
        <v>0.24</v>
      </c>
    </row>
    <row r="121" spans="23:34" x14ac:dyDescent="0.25">
      <c r="W121" s="79"/>
      <c r="X121" s="79"/>
      <c r="Y121" s="79"/>
      <c r="Z121" s="79"/>
      <c r="AA121" s="79"/>
      <c r="AB121" s="79"/>
      <c r="AC121" s="79" t="s">
        <v>52</v>
      </c>
      <c r="AD121" s="79" t="s">
        <v>16</v>
      </c>
      <c r="AE121" s="79"/>
      <c r="AF121" s="79" t="s">
        <v>124</v>
      </c>
      <c r="AG121" s="79" t="s">
        <v>17</v>
      </c>
      <c r="AH121" s="78">
        <v>0.24</v>
      </c>
    </row>
    <row r="122" spans="23:34" x14ac:dyDescent="0.25">
      <c r="W122" s="79"/>
      <c r="X122" s="79"/>
      <c r="Y122" s="79"/>
      <c r="Z122" s="79"/>
      <c r="AA122" s="79"/>
      <c r="AB122" s="79"/>
      <c r="AC122" s="79" t="s">
        <v>139</v>
      </c>
      <c r="AD122" s="79" t="s">
        <v>18</v>
      </c>
      <c r="AE122" s="79"/>
      <c r="AF122" s="79" t="s">
        <v>125</v>
      </c>
      <c r="AG122" s="79" t="s">
        <v>17</v>
      </c>
      <c r="AH122" s="78">
        <v>0.24</v>
      </c>
    </row>
    <row r="123" spans="23:34" x14ac:dyDescent="0.25">
      <c r="W123" s="79"/>
      <c r="X123" s="79"/>
      <c r="Y123" s="79"/>
      <c r="Z123" s="79"/>
      <c r="AA123" s="79"/>
      <c r="AB123" s="79"/>
      <c r="AC123" s="79" t="s">
        <v>106</v>
      </c>
      <c r="AD123" s="79" t="s">
        <v>17</v>
      </c>
      <c r="AE123" s="79"/>
      <c r="AF123" s="79" t="s">
        <v>126</v>
      </c>
      <c r="AG123" s="79" t="s">
        <v>17</v>
      </c>
      <c r="AH123" s="78">
        <v>0.19</v>
      </c>
    </row>
    <row r="124" spans="23:34" x14ac:dyDescent="0.25">
      <c r="W124" s="79"/>
      <c r="X124" s="79"/>
      <c r="Y124" s="79"/>
      <c r="Z124" s="79"/>
      <c r="AA124" s="79"/>
      <c r="AB124" s="79"/>
      <c r="AC124" s="79" t="s">
        <v>107</v>
      </c>
      <c r="AD124" s="79" t="s">
        <v>17</v>
      </c>
      <c r="AE124" s="79"/>
      <c r="AF124" s="79" t="s">
        <v>127</v>
      </c>
      <c r="AG124" s="79" t="s">
        <v>17</v>
      </c>
      <c r="AH124" s="78">
        <v>0.24</v>
      </c>
    </row>
    <row r="125" spans="23:34" x14ac:dyDescent="0.25">
      <c r="W125" s="79"/>
      <c r="X125" s="79"/>
      <c r="Y125" s="79"/>
      <c r="Z125" s="79"/>
      <c r="AA125" s="79"/>
      <c r="AB125" s="79"/>
      <c r="AC125" s="79" t="s">
        <v>108</v>
      </c>
      <c r="AD125" s="79" t="s">
        <v>17</v>
      </c>
      <c r="AE125" s="79"/>
      <c r="AF125" s="79" t="s">
        <v>128</v>
      </c>
      <c r="AG125" s="79" t="s">
        <v>17</v>
      </c>
      <c r="AH125" s="78">
        <v>0.24</v>
      </c>
    </row>
    <row r="126" spans="23:34" x14ac:dyDescent="0.25">
      <c r="W126" s="79"/>
      <c r="X126" s="79"/>
      <c r="Y126" s="79"/>
      <c r="Z126" s="79"/>
      <c r="AA126" s="79"/>
      <c r="AB126" s="79"/>
      <c r="AC126" s="79" t="s">
        <v>172</v>
      </c>
      <c r="AD126" s="79" t="s">
        <v>242</v>
      </c>
      <c r="AE126" s="79"/>
      <c r="AF126" s="79" t="s">
        <v>129</v>
      </c>
      <c r="AG126" s="79" t="s">
        <v>17</v>
      </c>
      <c r="AH126" s="78">
        <v>0.24</v>
      </c>
    </row>
    <row r="127" spans="23:34" x14ac:dyDescent="0.25">
      <c r="W127" s="79"/>
      <c r="X127" s="79"/>
      <c r="Y127" s="79"/>
      <c r="Z127" s="79"/>
      <c r="AA127" s="79"/>
      <c r="AB127" s="79"/>
      <c r="AC127" s="79" t="s">
        <v>109</v>
      </c>
      <c r="AD127" s="79" t="s">
        <v>17</v>
      </c>
      <c r="AE127" s="79"/>
      <c r="AF127" s="79" t="s">
        <v>130</v>
      </c>
      <c r="AG127" s="79" t="s">
        <v>17</v>
      </c>
      <c r="AH127" s="78">
        <v>0.24</v>
      </c>
    </row>
    <row r="128" spans="23:34" x14ac:dyDescent="0.25">
      <c r="W128" s="79"/>
      <c r="X128" s="79"/>
      <c r="Y128" s="79"/>
      <c r="Z128" s="79"/>
      <c r="AA128" s="79"/>
      <c r="AB128" s="79"/>
      <c r="AC128" s="79" t="s">
        <v>53</v>
      </c>
      <c r="AD128" s="79" t="s">
        <v>16</v>
      </c>
      <c r="AE128" s="79"/>
      <c r="AF128" s="79" t="s">
        <v>131</v>
      </c>
      <c r="AG128" s="79" t="s">
        <v>17</v>
      </c>
      <c r="AH128" s="78">
        <v>0.24</v>
      </c>
    </row>
    <row r="129" spans="23:34" x14ac:dyDescent="0.25">
      <c r="W129" s="79"/>
      <c r="X129" s="79"/>
      <c r="Y129" s="79"/>
      <c r="Z129" s="79"/>
      <c r="AA129" s="79"/>
      <c r="AB129" s="79"/>
      <c r="AC129" s="79" t="s">
        <v>54</v>
      </c>
      <c r="AD129" s="79" t="s">
        <v>16</v>
      </c>
      <c r="AE129" s="79"/>
      <c r="AF129" s="79" t="s">
        <v>132</v>
      </c>
      <c r="AG129" s="79" t="s">
        <v>17</v>
      </c>
      <c r="AH129" s="78">
        <v>0.24</v>
      </c>
    </row>
    <row r="130" spans="23:34" x14ac:dyDescent="0.25">
      <c r="W130" s="79"/>
      <c r="X130" s="79"/>
      <c r="Y130" s="79"/>
      <c r="Z130" s="79"/>
      <c r="AA130" s="79"/>
      <c r="AB130" s="79"/>
      <c r="AC130" s="79" t="s">
        <v>55</v>
      </c>
      <c r="AD130" s="79" t="s">
        <v>16</v>
      </c>
      <c r="AE130" s="79"/>
      <c r="AF130" s="79"/>
      <c r="AG130" s="79"/>
      <c r="AH130" s="78">
        <v>0.24</v>
      </c>
    </row>
    <row r="131" spans="23:34" x14ac:dyDescent="0.25">
      <c r="W131" s="79"/>
      <c r="X131" s="79"/>
      <c r="Y131" s="79"/>
      <c r="Z131" s="79"/>
      <c r="AA131" s="79"/>
      <c r="AB131" s="79"/>
      <c r="AC131" s="79" t="s">
        <v>173</v>
      </c>
      <c r="AD131" s="79" t="s">
        <v>242</v>
      </c>
      <c r="AE131" s="79"/>
      <c r="AF131" s="79" t="s">
        <v>1424</v>
      </c>
      <c r="AG131" s="79"/>
      <c r="AH131" s="78">
        <v>0.24</v>
      </c>
    </row>
    <row r="132" spans="23:34" x14ac:dyDescent="0.25">
      <c r="W132" s="79"/>
      <c r="X132" s="79"/>
      <c r="Y132" s="79"/>
      <c r="Z132" s="79"/>
      <c r="AA132" s="79"/>
      <c r="AB132" s="79"/>
      <c r="AC132" s="79" t="s">
        <v>174</v>
      </c>
      <c r="AD132" s="79" t="s">
        <v>242</v>
      </c>
      <c r="AE132" s="79"/>
      <c r="AF132" s="79" t="s">
        <v>133</v>
      </c>
      <c r="AG132" s="79" t="s">
        <v>18</v>
      </c>
      <c r="AH132" s="78">
        <v>0.24</v>
      </c>
    </row>
    <row r="133" spans="23:34" x14ac:dyDescent="0.25">
      <c r="W133" s="79"/>
      <c r="X133" s="79"/>
      <c r="Y133" s="79"/>
      <c r="Z133" s="79"/>
      <c r="AA133" s="79"/>
      <c r="AB133" s="79"/>
      <c r="AC133" s="79" t="s">
        <v>56</v>
      </c>
      <c r="AD133" s="79" t="s">
        <v>16</v>
      </c>
      <c r="AE133" s="79"/>
      <c r="AF133" s="79" t="s">
        <v>134</v>
      </c>
      <c r="AG133" s="79" t="s">
        <v>18</v>
      </c>
      <c r="AH133" s="78">
        <v>0.19</v>
      </c>
    </row>
    <row r="134" spans="23:34" x14ac:dyDescent="0.25">
      <c r="W134" s="79"/>
      <c r="X134" s="79"/>
      <c r="Y134" s="79"/>
      <c r="Z134" s="79"/>
      <c r="AA134" s="79"/>
      <c r="AB134" s="79"/>
      <c r="AC134" s="79" t="s">
        <v>57</v>
      </c>
      <c r="AD134" s="79" t="s">
        <v>16</v>
      </c>
      <c r="AE134" s="79"/>
      <c r="AF134" s="79" t="s">
        <v>135</v>
      </c>
      <c r="AG134" s="79" t="s">
        <v>18</v>
      </c>
      <c r="AH134" s="78">
        <v>0.24</v>
      </c>
    </row>
    <row r="135" spans="23:34" x14ac:dyDescent="0.25">
      <c r="W135" s="79"/>
      <c r="X135" s="79"/>
      <c r="Y135" s="79"/>
      <c r="Z135" s="79"/>
      <c r="AA135" s="79"/>
      <c r="AB135" s="79"/>
      <c r="AC135" s="79" t="s">
        <v>110</v>
      </c>
      <c r="AD135" s="79" t="s">
        <v>17</v>
      </c>
      <c r="AE135" s="79"/>
      <c r="AF135" s="79" t="s">
        <v>136</v>
      </c>
      <c r="AG135" s="79" t="s">
        <v>18</v>
      </c>
      <c r="AH135" s="78">
        <v>0.24</v>
      </c>
    </row>
    <row r="136" spans="23:34" x14ac:dyDescent="0.25">
      <c r="W136" s="79"/>
      <c r="X136" s="79"/>
      <c r="Y136" s="79"/>
      <c r="Z136" s="79"/>
      <c r="AA136" s="79"/>
      <c r="AB136" s="79"/>
      <c r="AC136" s="79" t="s">
        <v>111</v>
      </c>
      <c r="AD136" s="79" t="s">
        <v>17</v>
      </c>
      <c r="AE136" s="79"/>
      <c r="AF136" s="79" t="s">
        <v>137</v>
      </c>
      <c r="AG136" s="79" t="s">
        <v>18</v>
      </c>
      <c r="AH136" s="78">
        <v>0.24</v>
      </c>
    </row>
    <row r="137" spans="23:34" x14ac:dyDescent="0.25">
      <c r="W137" s="79"/>
      <c r="X137" s="79"/>
      <c r="Y137" s="79"/>
      <c r="Z137" s="79"/>
      <c r="AA137" s="79"/>
      <c r="AB137" s="79"/>
      <c r="AC137" s="79" t="s">
        <v>58</v>
      </c>
      <c r="AD137" s="79" t="s">
        <v>16</v>
      </c>
      <c r="AE137" s="79"/>
      <c r="AF137" s="79" t="s">
        <v>138</v>
      </c>
      <c r="AG137" s="79" t="s">
        <v>18</v>
      </c>
      <c r="AH137" s="78">
        <v>0.24</v>
      </c>
    </row>
    <row r="138" spans="23:34" x14ac:dyDescent="0.25">
      <c r="W138" s="79"/>
      <c r="X138" s="79"/>
      <c r="Y138" s="79"/>
      <c r="Z138" s="79"/>
      <c r="AA138" s="79"/>
      <c r="AB138" s="79"/>
      <c r="AC138" s="79" t="s">
        <v>175</v>
      </c>
      <c r="AD138" s="79" t="s">
        <v>242</v>
      </c>
      <c r="AE138" s="79"/>
      <c r="AF138" s="79" t="s">
        <v>139</v>
      </c>
      <c r="AG138" s="79" t="s">
        <v>18</v>
      </c>
      <c r="AH138" s="78">
        <v>0.24</v>
      </c>
    </row>
    <row r="139" spans="23:34" x14ac:dyDescent="0.25">
      <c r="W139" s="79"/>
      <c r="X139" s="79"/>
      <c r="Y139" s="79"/>
      <c r="Z139" s="79"/>
      <c r="AA139" s="79"/>
      <c r="AB139" s="79"/>
      <c r="AC139" s="79" t="s">
        <v>140</v>
      </c>
      <c r="AD139" s="79" t="s">
        <v>18</v>
      </c>
      <c r="AE139" s="79"/>
      <c r="AF139" s="79" t="s">
        <v>140</v>
      </c>
      <c r="AG139" s="79" t="s">
        <v>18</v>
      </c>
      <c r="AH139" s="78">
        <v>0.24</v>
      </c>
    </row>
    <row r="140" spans="23:34" x14ac:dyDescent="0.25">
      <c r="W140" s="79"/>
      <c r="X140" s="79"/>
      <c r="Y140" s="79"/>
      <c r="Z140" s="79"/>
      <c r="AA140" s="79"/>
      <c r="AB140" s="79"/>
      <c r="AC140" s="79" t="s">
        <v>213</v>
      </c>
      <c r="AD140" s="79" t="s">
        <v>722</v>
      </c>
      <c r="AE140" s="79"/>
      <c r="AF140" s="79" t="s">
        <v>141</v>
      </c>
      <c r="AG140" s="79" t="s">
        <v>18</v>
      </c>
      <c r="AH140" s="78">
        <v>0.24</v>
      </c>
    </row>
    <row r="141" spans="23:34" x14ac:dyDescent="0.25">
      <c r="W141" s="79"/>
      <c r="X141" s="79"/>
      <c r="Y141" s="79"/>
      <c r="Z141" s="79"/>
      <c r="AA141" s="79"/>
      <c r="AB141" s="79"/>
      <c r="AC141" s="79" t="s">
        <v>59</v>
      </c>
      <c r="AD141" s="79" t="s">
        <v>16</v>
      </c>
      <c r="AE141" s="79"/>
      <c r="AF141" s="79" t="s">
        <v>142</v>
      </c>
      <c r="AG141" s="79" t="s">
        <v>18</v>
      </c>
      <c r="AH141" s="78">
        <v>0.24</v>
      </c>
    </row>
    <row r="142" spans="23:34" x14ac:dyDescent="0.25">
      <c r="W142" s="79"/>
      <c r="X142" s="79"/>
      <c r="Y142" s="79"/>
      <c r="Z142" s="79"/>
      <c r="AA142" s="79"/>
      <c r="AB142" s="79"/>
      <c r="AC142" s="79" t="s">
        <v>60</v>
      </c>
      <c r="AD142" s="79" t="s">
        <v>16</v>
      </c>
      <c r="AE142" s="79"/>
      <c r="AF142" s="79" t="s">
        <v>143</v>
      </c>
      <c r="AG142" s="79" t="s">
        <v>18</v>
      </c>
      <c r="AH142" s="78">
        <v>0.24</v>
      </c>
    </row>
    <row r="143" spans="23:34" x14ac:dyDescent="0.25">
      <c r="W143" s="79"/>
      <c r="X143" s="79"/>
      <c r="Y143" s="79"/>
      <c r="Z143" s="79"/>
      <c r="AA143" s="79"/>
      <c r="AB143" s="79"/>
      <c r="AC143" s="79" t="s">
        <v>214</v>
      </c>
      <c r="AD143" s="79" t="s">
        <v>722</v>
      </c>
      <c r="AE143" s="79"/>
      <c r="AF143" s="79" t="s">
        <v>144</v>
      </c>
      <c r="AG143" s="79" t="s">
        <v>18</v>
      </c>
      <c r="AH143" s="78">
        <v>0.19</v>
      </c>
    </row>
    <row r="144" spans="23:34" x14ac:dyDescent="0.25">
      <c r="W144" s="79"/>
      <c r="X144" s="79"/>
      <c r="Y144" s="79"/>
      <c r="Z144" s="79"/>
      <c r="AA144" s="79"/>
      <c r="AB144" s="79"/>
      <c r="AC144" s="79" t="s">
        <v>141</v>
      </c>
      <c r="AD144" s="79" t="s">
        <v>18</v>
      </c>
      <c r="AE144" s="79"/>
      <c r="AF144" s="79" t="s">
        <v>145</v>
      </c>
      <c r="AG144" s="79" t="s">
        <v>18</v>
      </c>
      <c r="AH144" s="78">
        <v>0.24</v>
      </c>
    </row>
    <row r="145" spans="23:34" x14ac:dyDescent="0.25">
      <c r="W145" s="79"/>
      <c r="X145" s="79"/>
      <c r="Y145" s="79"/>
      <c r="Z145" s="79"/>
      <c r="AA145" s="79"/>
      <c r="AB145" s="79"/>
      <c r="AC145" s="79" t="s">
        <v>112</v>
      </c>
      <c r="AD145" s="79" t="s">
        <v>17</v>
      </c>
      <c r="AE145" s="79"/>
      <c r="AF145" s="79" t="s">
        <v>146</v>
      </c>
      <c r="AG145" s="79" t="s">
        <v>18</v>
      </c>
      <c r="AH145" s="78">
        <v>0.24</v>
      </c>
    </row>
    <row r="146" spans="23:34" x14ac:dyDescent="0.25">
      <c r="W146" s="79"/>
      <c r="X146" s="79"/>
      <c r="Y146" s="79"/>
      <c r="Z146" s="79"/>
      <c r="AA146" s="79"/>
      <c r="AB146" s="79"/>
      <c r="AC146" s="79" t="s">
        <v>215</v>
      </c>
      <c r="AD146" s="79" t="s">
        <v>722</v>
      </c>
      <c r="AE146" s="79"/>
      <c r="AF146" s="79" t="s">
        <v>147</v>
      </c>
      <c r="AG146" s="79" t="s">
        <v>18</v>
      </c>
      <c r="AH146" s="78">
        <v>0.24</v>
      </c>
    </row>
    <row r="147" spans="23:34" x14ac:dyDescent="0.25">
      <c r="W147" s="79"/>
      <c r="X147" s="79"/>
      <c r="Y147" s="79"/>
      <c r="Z147" s="79"/>
      <c r="AA147" s="79"/>
      <c r="AB147" s="79"/>
      <c r="AC147" s="79" t="s">
        <v>61</v>
      </c>
      <c r="AD147" s="79" t="s">
        <v>16</v>
      </c>
      <c r="AE147" s="79"/>
      <c r="AF147" s="79" t="s">
        <v>148</v>
      </c>
      <c r="AG147" s="79" t="s">
        <v>18</v>
      </c>
      <c r="AH147" s="78">
        <v>0.24</v>
      </c>
    </row>
    <row r="148" spans="23:34" x14ac:dyDescent="0.25">
      <c r="W148" s="79"/>
      <c r="X148" s="79"/>
      <c r="Y148" s="79"/>
      <c r="Z148" s="79"/>
      <c r="AA148" s="79"/>
      <c r="AB148" s="79"/>
      <c r="AC148" s="79" t="s">
        <v>62</v>
      </c>
      <c r="AD148" s="79" t="s">
        <v>16</v>
      </c>
      <c r="AE148" s="79"/>
      <c r="AF148" s="79" t="s">
        <v>149</v>
      </c>
      <c r="AG148" s="79" t="s">
        <v>18</v>
      </c>
      <c r="AH148" s="78">
        <v>0.24</v>
      </c>
    </row>
    <row r="149" spans="23:34" x14ac:dyDescent="0.25">
      <c r="W149" s="79"/>
      <c r="X149" s="79"/>
      <c r="Y149" s="79"/>
      <c r="Z149" s="79"/>
      <c r="AA149" s="79"/>
      <c r="AB149" s="79"/>
      <c r="AC149" s="79" t="s">
        <v>113</v>
      </c>
      <c r="AD149" s="79" t="s">
        <v>17</v>
      </c>
      <c r="AE149" s="79"/>
      <c r="AF149" s="79" t="s">
        <v>150</v>
      </c>
      <c r="AG149" s="79" t="s">
        <v>18</v>
      </c>
      <c r="AH149" s="78">
        <v>0.24</v>
      </c>
    </row>
    <row r="150" spans="23:34" x14ac:dyDescent="0.25">
      <c r="W150" s="79"/>
      <c r="X150" s="79"/>
      <c r="Y150" s="79"/>
      <c r="Z150" s="79"/>
      <c r="AA150" s="79"/>
      <c r="AB150" s="79"/>
      <c r="AC150" s="79" t="s">
        <v>63</v>
      </c>
      <c r="AD150" s="79" t="s">
        <v>16</v>
      </c>
      <c r="AE150" s="79"/>
      <c r="AF150" s="79" t="s">
        <v>151</v>
      </c>
      <c r="AG150" s="79" t="s">
        <v>18</v>
      </c>
      <c r="AH150" s="78">
        <v>0.24</v>
      </c>
    </row>
    <row r="151" spans="23:34" x14ac:dyDescent="0.25">
      <c r="W151" s="79"/>
      <c r="X151" s="79"/>
      <c r="Y151" s="79"/>
      <c r="Z151" s="79"/>
      <c r="AA151" s="79"/>
      <c r="AB151" s="79"/>
      <c r="AC151" s="79" t="s">
        <v>142</v>
      </c>
      <c r="AD151" s="79" t="s">
        <v>18</v>
      </c>
      <c r="AE151" s="79"/>
      <c r="AF151" s="79" t="s">
        <v>152</v>
      </c>
      <c r="AG151" s="79" t="s">
        <v>18</v>
      </c>
      <c r="AH151" s="78">
        <v>0.24</v>
      </c>
    </row>
    <row r="152" spans="23:34" x14ac:dyDescent="0.25">
      <c r="W152" s="79"/>
      <c r="X152" s="79"/>
      <c r="Y152" s="79"/>
      <c r="Z152" s="79"/>
      <c r="AA152" s="79"/>
      <c r="AB152" s="79"/>
      <c r="AC152" s="79" t="s">
        <v>114</v>
      </c>
      <c r="AD152" s="79" t="s">
        <v>17</v>
      </c>
      <c r="AE152" s="79"/>
      <c r="AF152" s="79"/>
      <c r="AG152" s="79"/>
      <c r="AH152" s="78">
        <v>0.24</v>
      </c>
    </row>
    <row r="153" spans="23:34" x14ac:dyDescent="0.25">
      <c r="W153" s="79"/>
      <c r="X153" s="79"/>
      <c r="Y153" s="79"/>
      <c r="Z153" s="79"/>
      <c r="AA153" s="79"/>
      <c r="AB153" s="79"/>
      <c r="AC153" s="79" t="s">
        <v>176</v>
      </c>
      <c r="AD153" s="79" t="s">
        <v>242</v>
      </c>
      <c r="AE153" s="79"/>
      <c r="AF153" s="79" t="s">
        <v>1425</v>
      </c>
      <c r="AG153" s="79"/>
      <c r="AH153" s="78">
        <v>0.24</v>
      </c>
    </row>
    <row r="154" spans="23:34" x14ac:dyDescent="0.25">
      <c r="W154" s="79"/>
      <c r="X154" s="79"/>
      <c r="Y154" s="79"/>
      <c r="Z154" s="79"/>
      <c r="AA154" s="79"/>
      <c r="AB154" s="79"/>
      <c r="AC154" s="79" t="s">
        <v>216</v>
      </c>
      <c r="AD154" s="79" t="s">
        <v>722</v>
      </c>
      <c r="AE154" s="79"/>
      <c r="AF154" s="79" t="s">
        <v>153</v>
      </c>
      <c r="AG154" s="79" t="s">
        <v>242</v>
      </c>
      <c r="AH154" s="78">
        <v>0.24</v>
      </c>
    </row>
    <row r="155" spans="23:34" x14ac:dyDescent="0.25">
      <c r="W155" s="79"/>
      <c r="X155" s="79"/>
      <c r="Y155" s="79"/>
      <c r="Z155" s="79"/>
      <c r="AA155" s="79"/>
      <c r="AB155" s="79"/>
      <c r="AC155" s="79" t="s">
        <v>143</v>
      </c>
      <c r="AD155" s="79" t="s">
        <v>18</v>
      </c>
      <c r="AE155" s="79"/>
      <c r="AF155" s="79" t="s">
        <v>154</v>
      </c>
      <c r="AG155" s="79" t="s">
        <v>242</v>
      </c>
      <c r="AH155" s="78">
        <v>0.24</v>
      </c>
    </row>
    <row r="156" spans="23:34" x14ac:dyDescent="0.25">
      <c r="W156" s="79"/>
      <c r="X156" s="79"/>
      <c r="Y156" s="79"/>
      <c r="Z156" s="79"/>
      <c r="AA156" s="79"/>
      <c r="AB156" s="79"/>
      <c r="AC156" s="79" t="s">
        <v>144</v>
      </c>
      <c r="AD156" s="79" t="s">
        <v>18</v>
      </c>
      <c r="AE156" s="79"/>
      <c r="AF156" s="79" t="s">
        <v>155</v>
      </c>
      <c r="AG156" s="79" t="s">
        <v>242</v>
      </c>
      <c r="AH156" s="78">
        <v>0.19</v>
      </c>
    </row>
    <row r="157" spans="23:34" x14ac:dyDescent="0.25">
      <c r="W157" s="79"/>
      <c r="X157" s="79"/>
      <c r="Y157" s="79"/>
      <c r="Z157" s="79"/>
      <c r="AA157" s="79"/>
      <c r="AB157" s="79"/>
      <c r="AC157" s="79" t="s">
        <v>217</v>
      </c>
      <c r="AD157" s="79" t="s">
        <v>722</v>
      </c>
      <c r="AE157" s="79"/>
      <c r="AF157" s="79" t="s">
        <v>156</v>
      </c>
      <c r="AG157" s="79" t="s">
        <v>242</v>
      </c>
      <c r="AH157" s="78">
        <v>0.19</v>
      </c>
    </row>
    <row r="158" spans="23:34" x14ac:dyDescent="0.25">
      <c r="W158" s="79"/>
      <c r="X158" s="79"/>
      <c r="Y158" s="79"/>
      <c r="Z158" s="79"/>
      <c r="AA158" s="79"/>
      <c r="AB158" s="79"/>
      <c r="AC158" s="79" t="s">
        <v>64</v>
      </c>
      <c r="AD158" s="79" t="s">
        <v>16</v>
      </c>
      <c r="AE158" s="79"/>
      <c r="AF158" s="79" t="s">
        <v>157</v>
      </c>
      <c r="AG158" s="79" t="s">
        <v>242</v>
      </c>
      <c r="AH158" s="78">
        <v>0.19</v>
      </c>
    </row>
    <row r="159" spans="23:34" x14ac:dyDescent="0.25">
      <c r="W159" s="79"/>
      <c r="X159" s="79"/>
      <c r="Y159" s="79"/>
      <c r="Z159" s="79"/>
      <c r="AA159" s="79"/>
      <c r="AB159" s="79"/>
      <c r="AC159" s="79" t="s">
        <v>65</v>
      </c>
      <c r="AD159" s="79" t="s">
        <v>16</v>
      </c>
      <c r="AE159" s="79"/>
      <c r="AF159" s="79" t="s">
        <v>158</v>
      </c>
      <c r="AG159" s="79" t="s">
        <v>242</v>
      </c>
      <c r="AH159" s="78">
        <v>0.24</v>
      </c>
    </row>
    <row r="160" spans="23:34" x14ac:dyDescent="0.25">
      <c r="W160" s="79"/>
      <c r="X160" s="79"/>
      <c r="Y160" s="79"/>
      <c r="Z160" s="79"/>
      <c r="AA160" s="79"/>
      <c r="AB160" s="79"/>
      <c r="AC160" s="79" t="s">
        <v>145</v>
      </c>
      <c r="AD160" s="79" t="s">
        <v>18</v>
      </c>
      <c r="AE160" s="79"/>
      <c r="AF160" s="79" t="s">
        <v>159</v>
      </c>
      <c r="AG160" s="79" t="s">
        <v>242</v>
      </c>
      <c r="AH160" s="78">
        <v>0.19</v>
      </c>
    </row>
    <row r="161" spans="23:34" x14ac:dyDescent="0.25">
      <c r="W161" s="79"/>
      <c r="X161" s="79"/>
      <c r="Y161" s="79"/>
      <c r="Z161" s="79"/>
      <c r="AA161" s="79"/>
      <c r="AB161" s="79"/>
      <c r="AC161" s="79" t="s">
        <v>146</v>
      </c>
      <c r="AD161" s="79" t="s">
        <v>18</v>
      </c>
      <c r="AE161" s="79"/>
      <c r="AF161" s="79" t="s">
        <v>160</v>
      </c>
      <c r="AG161" s="79" t="s">
        <v>242</v>
      </c>
      <c r="AH161" s="78">
        <v>0.19</v>
      </c>
    </row>
    <row r="162" spans="23:34" x14ac:dyDescent="0.25">
      <c r="W162" s="79"/>
      <c r="X162" s="79"/>
      <c r="Y162" s="79"/>
      <c r="Z162" s="79"/>
      <c r="AA162" s="79"/>
      <c r="AB162" s="79"/>
      <c r="AC162" s="79" t="s">
        <v>177</v>
      </c>
      <c r="AD162" s="79" t="s">
        <v>242</v>
      </c>
      <c r="AE162" s="79"/>
      <c r="AF162" s="79" t="s">
        <v>161</v>
      </c>
      <c r="AG162" s="79" t="s">
        <v>242</v>
      </c>
      <c r="AH162" s="78">
        <v>0.19</v>
      </c>
    </row>
    <row r="163" spans="23:34" x14ac:dyDescent="0.25">
      <c r="W163" s="79"/>
      <c r="X163" s="79"/>
      <c r="Y163" s="79"/>
      <c r="Z163" s="79"/>
      <c r="AA163" s="79"/>
      <c r="AB163" s="79"/>
      <c r="AC163" s="79" t="s">
        <v>115</v>
      </c>
      <c r="AD163" s="79" t="s">
        <v>17</v>
      </c>
      <c r="AE163" s="79"/>
      <c r="AF163" s="79" t="s">
        <v>162</v>
      </c>
      <c r="AG163" s="79" t="s">
        <v>242</v>
      </c>
      <c r="AH163" s="78">
        <v>0.19</v>
      </c>
    </row>
    <row r="164" spans="23:34" x14ac:dyDescent="0.25">
      <c r="W164" s="79"/>
      <c r="X164" s="79"/>
      <c r="Y164" s="79"/>
      <c r="Z164" s="79"/>
      <c r="AA164" s="79"/>
      <c r="AB164" s="79"/>
      <c r="AC164" s="79" t="s">
        <v>116</v>
      </c>
      <c r="AD164" s="79" t="s">
        <v>17</v>
      </c>
      <c r="AE164" s="79"/>
      <c r="AF164" s="79" t="s">
        <v>163</v>
      </c>
      <c r="AG164" s="79" t="s">
        <v>242</v>
      </c>
      <c r="AH164" s="78">
        <v>0.19</v>
      </c>
    </row>
    <row r="165" spans="23:34" x14ac:dyDescent="0.25">
      <c r="W165" s="79"/>
      <c r="X165" s="79"/>
      <c r="Y165" s="79"/>
      <c r="Z165" s="79"/>
      <c r="AA165" s="79"/>
      <c r="AB165" s="79"/>
      <c r="AC165" s="79" t="s">
        <v>147</v>
      </c>
      <c r="AD165" s="79" t="s">
        <v>18</v>
      </c>
      <c r="AE165" s="79"/>
      <c r="AF165" s="79" t="s">
        <v>164</v>
      </c>
      <c r="AG165" s="79" t="s">
        <v>242</v>
      </c>
      <c r="AH165" s="78">
        <v>0.19</v>
      </c>
    </row>
    <row r="166" spans="23:34" x14ac:dyDescent="0.25">
      <c r="W166" s="79"/>
      <c r="X166" s="79"/>
      <c r="Y166" s="79"/>
      <c r="Z166" s="79"/>
      <c r="AA166" s="79"/>
      <c r="AB166" s="79"/>
      <c r="AC166" s="79" t="s">
        <v>218</v>
      </c>
      <c r="AD166" s="79" t="s">
        <v>722</v>
      </c>
      <c r="AE166" s="79"/>
      <c r="AF166" s="79" t="s">
        <v>165</v>
      </c>
      <c r="AG166" s="79" t="s">
        <v>242</v>
      </c>
      <c r="AH166" s="78">
        <v>0.19</v>
      </c>
    </row>
    <row r="167" spans="23:34" x14ac:dyDescent="0.25">
      <c r="W167" s="79"/>
      <c r="X167" s="79"/>
      <c r="Y167" s="79"/>
      <c r="Z167" s="79"/>
      <c r="AA167" s="79"/>
      <c r="AB167" s="79"/>
      <c r="AC167" s="79" t="s">
        <v>148</v>
      </c>
      <c r="AD167" s="79" t="s">
        <v>18</v>
      </c>
      <c r="AE167" s="79"/>
      <c r="AF167" s="79" t="s">
        <v>166</v>
      </c>
      <c r="AG167" s="79" t="s">
        <v>242</v>
      </c>
      <c r="AH167" s="78">
        <v>0.19</v>
      </c>
    </row>
    <row r="168" spans="23:34" x14ac:dyDescent="0.25">
      <c r="W168" s="79"/>
      <c r="X168" s="79"/>
      <c r="Y168" s="79"/>
      <c r="Z168" s="79"/>
      <c r="AA168" s="79"/>
      <c r="AB168" s="79"/>
      <c r="AC168" s="79" t="s">
        <v>237</v>
      </c>
      <c r="AD168" s="79" t="s">
        <v>722</v>
      </c>
      <c r="AE168" s="79"/>
      <c r="AF168" s="79" t="s">
        <v>167</v>
      </c>
      <c r="AG168" s="79" t="s">
        <v>242</v>
      </c>
      <c r="AH168" s="78">
        <v>0.19</v>
      </c>
    </row>
    <row r="169" spans="23:34" x14ac:dyDescent="0.25">
      <c r="W169" s="79"/>
      <c r="X169" s="79"/>
      <c r="Y169" s="79"/>
      <c r="Z169" s="79"/>
      <c r="AA169" s="79"/>
      <c r="AB169" s="79"/>
      <c r="AC169" s="79" t="s">
        <v>238</v>
      </c>
      <c r="AD169" s="79" t="s">
        <v>722</v>
      </c>
      <c r="AE169" s="79"/>
      <c r="AF169" s="79" t="s">
        <v>168</v>
      </c>
      <c r="AG169" s="79" t="s">
        <v>242</v>
      </c>
      <c r="AH169" s="78">
        <v>0.19</v>
      </c>
    </row>
    <row r="170" spans="23:34" x14ac:dyDescent="0.25">
      <c r="W170" s="79"/>
      <c r="X170" s="79"/>
      <c r="Y170" s="79"/>
      <c r="Z170" s="79"/>
      <c r="AA170" s="79"/>
      <c r="AB170" s="79"/>
      <c r="AC170" s="79" t="s">
        <v>117</v>
      </c>
      <c r="AD170" s="79" t="s">
        <v>17</v>
      </c>
      <c r="AE170" s="79"/>
      <c r="AF170" s="79" t="s">
        <v>169</v>
      </c>
      <c r="AG170" s="79" t="s">
        <v>242</v>
      </c>
      <c r="AH170" s="78">
        <v>0.19</v>
      </c>
    </row>
    <row r="171" spans="23:34" x14ac:dyDescent="0.25">
      <c r="W171" s="79"/>
      <c r="X171" s="79"/>
      <c r="Y171" s="79"/>
      <c r="Z171" s="79"/>
      <c r="AA171" s="79"/>
      <c r="AB171" s="79"/>
      <c r="AC171" s="79" t="s">
        <v>178</v>
      </c>
      <c r="AD171" s="79" t="s">
        <v>242</v>
      </c>
      <c r="AE171" s="79"/>
      <c r="AF171" s="79" t="s">
        <v>170</v>
      </c>
      <c r="AG171" s="79" t="s">
        <v>242</v>
      </c>
      <c r="AH171" s="78">
        <v>0.19</v>
      </c>
    </row>
    <row r="172" spans="23:34" x14ac:dyDescent="0.25">
      <c r="W172" s="79"/>
      <c r="X172" s="79"/>
      <c r="Y172" s="79"/>
      <c r="Z172" s="79"/>
      <c r="AA172" s="79"/>
      <c r="AB172" s="79"/>
      <c r="AC172" s="79" t="s">
        <v>179</v>
      </c>
      <c r="AD172" s="79" t="s">
        <v>242</v>
      </c>
      <c r="AE172" s="79"/>
      <c r="AF172" s="79" t="s">
        <v>171</v>
      </c>
      <c r="AG172" s="79" t="s">
        <v>242</v>
      </c>
      <c r="AH172" s="78">
        <v>0.19</v>
      </c>
    </row>
    <row r="173" spans="23:34" x14ac:dyDescent="0.25">
      <c r="W173" s="79"/>
      <c r="X173" s="79"/>
      <c r="Y173" s="79"/>
      <c r="Z173" s="79"/>
      <c r="AA173" s="79"/>
      <c r="AB173" s="79"/>
      <c r="AC173" s="79" t="s">
        <v>219</v>
      </c>
      <c r="AD173" s="79" t="s">
        <v>722</v>
      </c>
      <c r="AE173" s="79"/>
      <c r="AF173" s="79" t="s">
        <v>172</v>
      </c>
      <c r="AG173" s="79" t="s">
        <v>242</v>
      </c>
      <c r="AH173" s="78">
        <v>0.19</v>
      </c>
    </row>
    <row r="174" spans="23:34" x14ac:dyDescent="0.25">
      <c r="W174" s="79"/>
      <c r="X174" s="79"/>
      <c r="Y174" s="79"/>
      <c r="Z174" s="79"/>
      <c r="AA174" s="79"/>
      <c r="AB174" s="79"/>
      <c r="AC174" s="79" t="s">
        <v>118</v>
      </c>
      <c r="AD174" s="79" t="s">
        <v>17</v>
      </c>
      <c r="AE174" s="79"/>
      <c r="AF174" s="79" t="s">
        <v>173</v>
      </c>
      <c r="AG174" s="79" t="s">
        <v>242</v>
      </c>
      <c r="AH174" s="78">
        <v>0.19</v>
      </c>
    </row>
    <row r="175" spans="23:34" x14ac:dyDescent="0.25">
      <c r="W175" s="79"/>
      <c r="X175" s="79"/>
      <c r="Y175" s="79"/>
      <c r="Z175" s="79"/>
      <c r="AA175" s="79"/>
      <c r="AB175" s="79"/>
      <c r="AC175" s="79" t="s">
        <v>119</v>
      </c>
      <c r="AD175" s="79" t="s">
        <v>17</v>
      </c>
      <c r="AE175" s="79"/>
      <c r="AF175" s="79" t="s">
        <v>174</v>
      </c>
      <c r="AG175" s="79" t="s">
        <v>242</v>
      </c>
      <c r="AH175" s="78">
        <v>0.19</v>
      </c>
    </row>
    <row r="176" spans="23:34" x14ac:dyDescent="0.25">
      <c r="W176" s="79"/>
      <c r="X176" s="79"/>
      <c r="Y176" s="79"/>
      <c r="Z176" s="79"/>
      <c r="AA176" s="79"/>
      <c r="AB176" s="79"/>
      <c r="AC176" s="79" t="s">
        <v>180</v>
      </c>
      <c r="AD176" s="79" t="s">
        <v>242</v>
      </c>
      <c r="AE176" s="79"/>
      <c r="AF176" s="79" t="s">
        <v>175</v>
      </c>
      <c r="AG176" s="79" t="s">
        <v>242</v>
      </c>
      <c r="AH176" s="78">
        <v>0.19</v>
      </c>
    </row>
    <row r="177" spans="23:34" x14ac:dyDescent="0.25">
      <c r="W177" s="79"/>
      <c r="X177" s="79"/>
      <c r="Y177" s="79"/>
      <c r="Z177" s="79"/>
      <c r="AA177" s="79"/>
      <c r="AB177" s="79"/>
      <c r="AC177" s="79" t="s">
        <v>66</v>
      </c>
      <c r="AD177" s="79" t="s">
        <v>16</v>
      </c>
      <c r="AE177" s="79"/>
      <c r="AF177" s="79" t="s">
        <v>176</v>
      </c>
      <c r="AG177" s="79" t="s">
        <v>242</v>
      </c>
      <c r="AH177" s="78">
        <v>0.19</v>
      </c>
    </row>
    <row r="178" spans="23:34" x14ac:dyDescent="0.25">
      <c r="W178" s="79"/>
      <c r="X178" s="79"/>
      <c r="Y178" s="79"/>
      <c r="Z178" s="79"/>
      <c r="AA178" s="79"/>
      <c r="AB178" s="79"/>
      <c r="AC178" s="79" t="s">
        <v>181</v>
      </c>
      <c r="AD178" s="79" t="s">
        <v>242</v>
      </c>
      <c r="AE178" s="79"/>
      <c r="AF178" s="79" t="s">
        <v>177</v>
      </c>
      <c r="AG178" s="79" t="s">
        <v>242</v>
      </c>
      <c r="AH178" s="78">
        <v>0.19</v>
      </c>
    </row>
    <row r="179" spans="23:34" x14ac:dyDescent="0.25">
      <c r="W179" s="79"/>
      <c r="X179" s="79"/>
      <c r="Y179" s="79"/>
      <c r="Z179" s="79"/>
      <c r="AA179" s="79"/>
      <c r="AB179" s="79"/>
      <c r="AC179" s="79" t="s">
        <v>182</v>
      </c>
      <c r="AD179" s="79" t="s">
        <v>242</v>
      </c>
      <c r="AE179" s="79"/>
      <c r="AF179" s="79" t="s">
        <v>178</v>
      </c>
      <c r="AG179" s="79" t="s">
        <v>242</v>
      </c>
      <c r="AH179" s="78">
        <v>0.19</v>
      </c>
    </row>
    <row r="180" spans="23:34" x14ac:dyDescent="0.25">
      <c r="W180" s="79"/>
      <c r="X180" s="79"/>
      <c r="Y180" s="79"/>
      <c r="Z180" s="79"/>
      <c r="AA180" s="79"/>
      <c r="AB180" s="79"/>
      <c r="AC180" s="79" t="s">
        <v>67</v>
      </c>
      <c r="AD180" s="79" t="s">
        <v>16</v>
      </c>
      <c r="AE180" s="79"/>
      <c r="AF180" s="79" t="s">
        <v>179</v>
      </c>
      <c r="AG180" s="79" t="s">
        <v>242</v>
      </c>
      <c r="AH180" s="78">
        <v>0.19</v>
      </c>
    </row>
    <row r="181" spans="23:34" x14ac:dyDescent="0.25">
      <c r="W181" s="79"/>
      <c r="X181" s="79"/>
      <c r="Y181" s="79"/>
      <c r="Z181" s="79"/>
      <c r="AA181" s="79"/>
      <c r="AB181" s="79"/>
      <c r="AC181" s="79" t="s">
        <v>68</v>
      </c>
      <c r="AD181" s="79" t="s">
        <v>16</v>
      </c>
      <c r="AE181" s="79"/>
      <c r="AF181" s="79" t="s">
        <v>180</v>
      </c>
      <c r="AG181" s="79" t="s">
        <v>242</v>
      </c>
      <c r="AH181" s="78">
        <v>0.24</v>
      </c>
    </row>
    <row r="182" spans="23:34" x14ac:dyDescent="0.25">
      <c r="W182" s="79"/>
      <c r="X182" s="79"/>
      <c r="Y182" s="79"/>
      <c r="Z182" s="79"/>
      <c r="AA182" s="79"/>
      <c r="AB182" s="79"/>
      <c r="AC182" s="79" t="s">
        <v>220</v>
      </c>
      <c r="AD182" s="79" t="s">
        <v>722</v>
      </c>
      <c r="AE182" s="79"/>
      <c r="AF182" s="79" t="s">
        <v>181</v>
      </c>
      <c r="AG182" s="79" t="s">
        <v>242</v>
      </c>
      <c r="AH182" s="78">
        <v>0.19</v>
      </c>
    </row>
    <row r="183" spans="23:34" x14ac:dyDescent="0.25">
      <c r="W183" s="79"/>
      <c r="X183" s="79"/>
      <c r="Y183" s="79"/>
      <c r="Z183" s="79"/>
      <c r="AA183" s="79"/>
      <c r="AB183" s="79"/>
      <c r="AC183" s="79" t="s">
        <v>221</v>
      </c>
      <c r="AD183" s="79" t="s">
        <v>722</v>
      </c>
      <c r="AE183" s="79"/>
      <c r="AF183" s="79" t="s">
        <v>182</v>
      </c>
      <c r="AG183" s="79" t="s">
        <v>242</v>
      </c>
      <c r="AH183" s="78">
        <v>0.19</v>
      </c>
    </row>
    <row r="184" spans="23:34" x14ac:dyDescent="0.25">
      <c r="W184" s="79"/>
      <c r="X184" s="79"/>
      <c r="Y184" s="79"/>
      <c r="Z184" s="79"/>
      <c r="AA184" s="79"/>
      <c r="AB184" s="79"/>
      <c r="AC184" s="79" t="s">
        <v>222</v>
      </c>
      <c r="AD184" s="79" t="s">
        <v>722</v>
      </c>
      <c r="AE184" s="79"/>
      <c r="AF184" s="79" t="s">
        <v>183</v>
      </c>
      <c r="AG184" s="79" t="s">
        <v>242</v>
      </c>
      <c r="AH184" s="78">
        <v>0.24</v>
      </c>
    </row>
    <row r="185" spans="23:34" x14ac:dyDescent="0.25">
      <c r="W185" s="79"/>
      <c r="X185" s="79"/>
      <c r="Y185" s="79"/>
      <c r="Z185" s="79"/>
      <c r="AA185" s="79"/>
      <c r="AB185" s="79"/>
      <c r="AC185" s="79" t="s">
        <v>223</v>
      </c>
      <c r="AD185" s="79" t="s">
        <v>722</v>
      </c>
      <c r="AE185" s="79"/>
      <c r="AF185" s="79" t="s">
        <v>184</v>
      </c>
      <c r="AG185" s="79" t="s">
        <v>242</v>
      </c>
      <c r="AH185" s="78">
        <v>0.19</v>
      </c>
    </row>
    <row r="186" spans="23:34" x14ac:dyDescent="0.25">
      <c r="W186" s="79"/>
      <c r="X186" s="79"/>
      <c r="Y186" s="79"/>
      <c r="Z186" s="79"/>
      <c r="AA186" s="79"/>
      <c r="AB186" s="79"/>
      <c r="AC186" s="79" t="s">
        <v>149</v>
      </c>
      <c r="AD186" s="79" t="s">
        <v>18</v>
      </c>
      <c r="AE186" s="79"/>
      <c r="AF186" s="79" t="s">
        <v>185</v>
      </c>
      <c r="AG186" s="79" t="s">
        <v>242</v>
      </c>
      <c r="AH186" s="78">
        <v>0.19</v>
      </c>
    </row>
    <row r="187" spans="23:34" x14ac:dyDescent="0.25">
      <c r="W187" s="79"/>
      <c r="X187" s="79"/>
      <c r="Y187" s="79"/>
      <c r="Z187" s="79"/>
      <c r="AA187" s="79"/>
      <c r="AB187" s="79"/>
      <c r="AC187" s="79" t="s">
        <v>183</v>
      </c>
      <c r="AD187" s="79" t="s">
        <v>242</v>
      </c>
      <c r="AE187" s="79"/>
      <c r="AF187" s="79" t="s">
        <v>186</v>
      </c>
      <c r="AG187" s="79" t="s">
        <v>242</v>
      </c>
      <c r="AH187" s="78">
        <v>0.19</v>
      </c>
    </row>
    <row r="188" spans="23:34" x14ac:dyDescent="0.25">
      <c r="W188" s="79"/>
      <c r="X188" s="79"/>
      <c r="Y188" s="79"/>
      <c r="Z188" s="79"/>
      <c r="AA188" s="79"/>
      <c r="AB188" s="79"/>
      <c r="AC188" s="79" t="s">
        <v>69</v>
      </c>
      <c r="AD188" s="79" t="s">
        <v>16</v>
      </c>
      <c r="AE188" s="79"/>
      <c r="AF188" s="79" t="s">
        <v>187</v>
      </c>
      <c r="AG188" s="79" t="s">
        <v>242</v>
      </c>
      <c r="AH188" s="78">
        <v>0.19</v>
      </c>
    </row>
    <row r="189" spans="23:34" x14ac:dyDescent="0.25">
      <c r="W189" s="79"/>
      <c r="X189" s="79"/>
      <c r="Y189" s="79"/>
      <c r="Z189" s="79"/>
      <c r="AA189" s="79"/>
      <c r="AB189" s="79"/>
      <c r="AC189" s="79" t="s">
        <v>120</v>
      </c>
      <c r="AD189" s="79" t="s">
        <v>17</v>
      </c>
      <c r="AE189" s="79"/>
      <c r="AF189" s="79" t="s">
        <v>188</v>
      </c>
      <c r="AG189" s="79" t="s">
        <v>242</v>
      </c>
      <c r="AH189" s="78">
        <v>0.19</v>
      </c>
    </row>
    <row r="190" spans="23:34" x14ac:dyDescent="0.25">
      <c r="W190" s="79"/>
      <c r="X190" s="79"/>
      <c r="Y190" s="79"/>
      <c r="Z190" s="79"/>
      <c r="AA190" s="79"/>
      <c r="AB190" s="79"/>
      <c r="AC190" s="79" t="s">
        <v>70</v>
      </c>
      <c r="AD190" s="79" t="s">
        <v>16</v>
      </c>
      <c r="AE190" s="79"/>
      <c r="AF190" s="79" t="s">
        <v>189</v>
      </c>
      <c r="AG190" s="79" t="s">
        <v>242</v>
      </c>
      <c r="AH190" s="78">
        <v>0.24</v>
      </c>
    </row>
    <row r="191" spans="23:34" x14ac:dyDescent="0.25">
      <c r="W191" s="79"/>
      <c r="X191" s="79"/>
      <c r="Y191" s="79"/>
      <c r="Z191" s="79"/>
      <c r="AA191" s="79"/>
      <c r="AB191" s="79"/>
      <c r="AC191" s="79" t="s">
        <v>71</v>
      </c>
      <c r="AD191" s="79" t="s">
        <v>16</v>
      </c>
      <c r="AE191" s="79"/>
      <c r="AF191" s="79" t="s">
        <v>190</v>
      </c>
      <c r="AG191" s="79" t="s">
        <v>242</v>
      </c>
      <c r="AH191" s="78">
        <v>0.19</v>
      </c>
    </row>
    <row r="192" spans="23:34" x14ac:dyDescent="0.25">
      <c r="W192" s="79"/>
      <c r="X192" s="79"/>
      <c r="Y192" s="79"/>
      <c r="Z192" s="79"/>
      <c r="AA192" s="79"/>
      <c r="AB192" s="79"/>
      <c r="AC192" s="79" t="s">
        <v>72</v>
      </c>
      <c r="AD192" s="79" t="s">
        <v>16</v>
      </c>
      <c r="AE192" s="79"/>
      <c r="AF192" s="79" t="s">
        <v>191</v>
      </c>
      <c r="AG192" s="79" t="s">
        <v>242</v>
      </c>
      <c r="AH192" s="78">
        <v>0.19</v>
      </c>
    </row>
    <row r="193" spans="23:34" x14ac:dyDescent="0.25">
      <c r="W193" s="79"/>
      <c r="X193" s="79"/>
      <c r="Y193" s="79"/>
      <c r="Z193" s="79"/>
      <c r="AA193" s="79"/>
      <c r="AB193" s="79"/>
      <c r="AC193" s="79" t="s">
        <v>121</v>
      </c>
      <c r="AD193" s="79" t="s">
        <v>17</v>
      </c>
      <c r="AE193" s="79"/>
      <c r="AF193" s="79" t="s">
        <v>192</v>
      </c>
      <c r="AG193" s="79" t="s">
        <v>242</v>
      </c>
      <c r="AH193" s="78">
        <v>0.24</v>
      </c>
    </row>
    <row r="194" spans="23:34" x14ac:dyDescent="0.25">
      <c r="W194" s="79"/>
      <c r="X194" s="79"/>
      <c r="Y194" s="79"/>
      <c r="Z194" s="79"/>
      <c r="AA194" s="79"/>
      <c r="AB194" s="79"/>
      <c r="AC194" s="79" t="s">
        <v>184</v>
      </c>
      <c r="AD194" s="79" t="s">
        <v>242</v>
      </c>
      <c r="AE194" s="79"/>
      <c r="AF194" s="79"/>
      <c r="AG194" s="79"/>
      <c r="AH194" s="78">
        <v>0.24</v>
      </c>
    </row>
    <row r="195" spans="23:34" x14ac:dyDescent="0.25">
      <c r="W195" s="79"/>
      <c r="X195" s="79"/>
      <c r="Y195" s="79"/>
      <c r="Z195" s="79"/>
      <c r="AA195" s="79"/>
      <c r="AB195" s="79"/>
      <c r="AC195" s="79" t="s">
        <v>185</v>
      </c>
      <c r="AD195" s="79" t="s">
        <v>242</v>
      </c>
      <c r="AE195" s="79"/>
      <c r="AF195" s="79" t="s">
        <v>1426</v>
      </c>
      <c r="AG195" s="79"/>
      <c r="AH195" s="78">
        <v>0.24</v>
      </c>
    </row>
    <row r="196" spans="23:34" x14ac:dyDescent="0.25">
      <c r="W196" s="79"/>
      <c r="X196" s="79"/>
      <c r="Y196" s="79"/>
      <c r="Z196" s="79"/>
      <c r="AA196" s="79"/>
      <c r="AB196" s="79"/>
      <c r="AC196" s="79" t="s">
        <v>150</v>
      </c>
      <c r="AD196" s="79" t="s">
        <v>18</v>
      </c>
      <c r="AE196" s="79"/>
      <c r="AF196" s="79" t="s">
        <v>193</v>
      </c>
      <c r="AG196" s="79" t="s">
        <v>722</v>
      </c>
      <c r="AH196" s="78">
        <v>0.24</v>
      </c>
    </row>
    <row r="197" spans="23:34" x14ac:dyDescent="0.25">
      <c r="W197" s="79"/>
      <c r="X197" s="79"/>
      <c r="Y197" s="79"/>
      <c r="Z197" s="79"/>
      <c r="AA197" s="79"/>
      <c r="AB197" s="79"/>
      <c r="AC197" s="79" t="s">
        <v>73</v>
      </c>
      <c r="AD197" s="79" t="s">
        <v>16</v>
      </c>
      <c r="AE197" s="79"/>
      <c r="AF197" s="79" t="s">
        <v>194</v>
      </c>
      <c r="AG197" s="79" t="s">
        <v>722</v>
      </c>
      <c r="AH197" s="78">
        <v>0.24</v>
      </c>
    </row>
    <row r="198" spans="23:34" x14ac:dyDescent="0.25">
      <c r="W198" s="79"/>
      <c r="X198" s="79"/>
      <c r="Y198" s="79"/>
      <c r="Z198" s="79"/>
      <c r="AA198" s="79"/>
      <c r="AB198" s="79"/>
      <c r="AC198" s="79" t="s">
        <v>74</v>
      </c>
      <c r="AD198" s="79" t="s">
        <v>16</v>
      </c>
      <c r="AE198" s="79"/>
      <c r="AF198" s="79" t="s">
        <v>195</v>
      </c>
      <c r="AG198" s="79" t="s">
        <v>722</v>
      </c>
      <c r="AH198" s="78">
        <v>0.24</v>
      </c>
    </row>
    <row r="199" spans="23:34" x14ac:dyDescent="0.25">
      <c r="W199" s="79"/>
      <c r="X199" s="79"/>
      <c r="Y199" s="79"/>
      <c r="Z199" s="79"/>
      <c r="AA199" s="79"/>
      <c r="AB199" s="79"/>
      <c r="AC199" s="79" t="s">
        <v>186</v>
      </c>
      <c r="AD199" s="79" t="s">
        <v>242</v>
      </c>
      <c r="AE199" s="79"/>
      <c r="AF199" s="79" t="s">
        <v>196</v>
      </c>
      <c r="AG199" s="79" t="s">
        <v>722</v>
      </c>
      <c r="AH199" s="78">
        <v>0.24</v>
      </c>
    </row>
    <row r="200" spans="23:34" x14ac:dyDescent="0.25">
      <c r="W200" s="79"/>
      <c r="X200" s="79"/>
      <c r="Y200" s="79"/>
      <c r="Z200" s="79"/>
      <c r="AA200" s="79"/>
      <c r="AB200" s="79"/>
      <c r="AC200" s="79" t="s">
        <v>122</v>
      </c>
      <c r="AD200" s="79" t="s">
        <v>17</v>
      </c>
      <c r="AE200" s="79"/>
      <c r="AF200" s="79" t="s">
        <v>197</v>
      </c>
      <c r="AG200" s="79" t="s">
        <v>722</v>
      </c>
      <c r="AH200" s="78">
        <v>0.24</v>
      </c>
    </row>
    <row r="201" spans="23:34" x14ac:dyDescent="0.25">
      <c r="W201" s="79"/>
      <c r="X201" s="79"/>
      <c r="Y201" s="79"/>
      <c r="Z201" s="79"/>
      <c r="AA201" s="79"/>
      <c r="AB201" s="79"/>
      <c r="AC201" s="79" t="s">
        <v>75</v>
      </c>
      <c r="AD201" s="79" t="s">
        <v>16</v>
      </c>
      <c r="AE201" s="79"/>
      <c r="AF201" s="79" t="s">
        <v>198</v>
      </c>
      <c r="AG201" s="79" t="s">
        <v>722</v>
      </c>
      <c r="AH201" s="78">
        <v>0.24</v>
      </c>
    </row>
    <row r="202" spans="23:34" x14ac:dyDescent="0.25">
      <c r="W202" s="79"/>
      <c r="X202" s="79"/>
      <c r="Y202" s="79"/>
      <c r="Z202" s="79"/>
      <c r="AA202" s="79"/>
      <c r="AB202" s="79"/>
      <c r="AC202" s="79" t="s">
        <v>239</v>
      </c>
      <c r="AD202" s="79" t="s">
        <v>722</v>
      </c>
      <c r="AE202" s="79"/>
      <c r="AF202" s="79" t="s">
        <v>199</v>
      </c>
      <c r="AG202" s="79" t="s">
        <v>722</v>
      </c>
      <c r="AH202" s="78">
        <v>0.19</v>
      </c>
    </row>
    <row r="203" spans="23:34" x14ac:dyDescent="0.25">
      <c r="W203" s="79"/>
      <c r="X203" s="79"/>
      <c r="Y203" s="79"/>
      <c r="Z203" s="79"/>
      <c r="AA203" s="79"/>
      <c r="AB203" s="79"/>
      <c r="AC203" s="79" t="s">
        <v>76</v>
      </c>
      <c r="AD203" s="79" t="s">
        <v>16</v>
      </c>
      <c r="AE203" s="79"/>
      <c r="AF203" s="79" t="s">
        <v>200</v>
      </c>
      <c r="AG203" s="79" t="s">
        <v>722</v>
      </c>
      <c r="AH203" s="78">
        <v>0.24</v>
      </c>
    </row>
    <row r="204" spans="23:34" x14ac:dyDescent="0.25">
      <c r="W204" s="79"/>
      <c r="X204" s="79"/>
      <c r="Y204" s="79"/>
      <c r="Z204" s="79"/>
      <c r="AA204" s="79"/>
      <c r="AB204" s="79"/>
      <c r="AC204" s="79" t="s">
        <v>187</v>
      </c>
      <c r="AD204" s="79" t="s">
        <v>242</v>
      </c>
      <c r="AE204" s="79"/>
      <c r="AF204" s="79" t="s">
        <v>201</v>
      </c>
      <c r="AG204" s="79" t="s">
        <v>722</v>
      </c>
      <c r="AH204" s="78">
        <v>0.24</v>
      </c>
    </row>
    <row r="205" spans="23:34" x14ac:dyDescent="0.25">
      <c r="W205" s="79"/>
      <c r="X205" s="79"/>
      <c r="Y205" s="79"/>
      <c r="Z205" s="79"/>
      <c r="AA205" s="79"/>
      <c r="AB205" s="79"/>
      <c r="AC205" s="79" t="s">
        <v>188</v>
      </c>
      <c r="AD205" s="79" t="s">
        <v>242</v>
      </c>
      <c r="AE205" s="79"/>
      <c r="AF205" s="79" t="s">
        <v>202</v>
      </c>
      <c r="AG205" s="79" t="s">
        <v>722</v>
      </c>
      <c r="AH205" s="78">
        <v>0.24</v>
      </c>
    </row>
    <row r="206" spans="23:34" x14ac:dyDescent="0.25">
      <c r="W206" s="79"/>
      <c r="X206" s="79"/>
      <c r="Y206" s="79"/>
      <c r="Z206" s="79"/>
      <c r="AA206" s="79"/>
      <c r="AB206" s="79"/>
      <c r="AC206" s="79" t="s">
        <v>123</v>
      </c>
      <c r="AD206" s="79" t="s">
        <v>17</v>
      </c>
      <c r="AE206" s="79"/>
      <c r="AF206" s="79" t="s">
        <v>203</v>
      </c>
      <c r="AG206" s="79" t="s">
        <v>722</v>
      </c>
      <c r="AH206" s="78">
        <v>0.24</v>
      </c>
    </row>
    <row r="207" spans="23:34" x14ac:dyDescent="0.25">
      <c r="W207" s="79"/>
      <c r="X207" s="79"/>
      <c r="Y207" s="79"/>
      <c r="Z207" s="79"/>
      <c r="AA207" s="79"/>
      <c r="AB207" s="79"/>
      <c r="AC207" s="79" t="s">
        <v>124</v>
      </c>
      <c r="AD207" s="79" t="s">
        <v>17</v>
      </c>
      <c r="AE207" s="79"/>
      <c r="AF207" s="79" t="s">
        <v>204</v>
      </c>
      <c r="AG207" s="79" t="s">
        <v>722</v>
      </c>
      <c r="AH207" s="78">
        <v>0.24</v>
      </c>
    </row>
    <row r="208" spans="23:34" x14ac:dyDescent="0.25">
      <c r="W208" s="79"/>
      <c r="X208" s="79"/>
      <c r="Y208" s="79"/>
      <c r="Z208" s="79"/>
      <c r="AA208" s="79"/>
      <c r="AB208" s="79"/>
      <c r="AC208" s="79" t="s">
        <v>125</v>
      </c>
      <c r="AD208" s="79" t="s">
        <v>17</v>
      </c>
      <c r="AE208" s="79"/>
      <c r="AF208" s="79" t="s">
        <v>205</v>
      </c>
      <c r="AG208" s="79" t="s">
        <v>722</v>
      </c>
      <c r="AH208" s="78">
        <v>0.24</v>
      </c>
    </row>
    <row r="209" spans="23:34" x14ac:dyDescent="0.25">
      <c r="W209" s="79"/>
      <c r="X209" s="79"/>
      <c r="Y209" s="79"/>
      <c r="Z209" s="79"/>
      <c r="AA209" s="79"/>
      <c r="AB209" s="79"/>
      <c r="AC209" s="79" t="s">
        <v>189</v>
      </c>
      <c r="AD209" s="79" t="s">
        <v>242</v>
      </c>
      <c r="AE209" s="79"/>
      <c r="AF209" s="79" t="s">
        <v>206</v>
      </c>
      <c r="AG209" s="79" t="s">
        <v>722</v>
      </c>
      <c r="AH209" s="78">
        <v>0.24</v>
      </c>
    </row>
    <row r="210" spans="23:34" x14ac:dyDescent="0.25">
      <c r="W210" s="79"/>
      <c r="X210" s="79"/>
      <c r="Y210" s="79"/>
      <c r="Z210" s="79"/>
      <c r="AA210" s="79"/>
      <c r="AB210" s="79"/>
      <c r="AC210" s="79" t="s">
        <v>77</v>
      </c>
      <c r="AD210" s="79" t="s">
        <v>16</v>
      </c>
      <c r="AE210" s="79"/>
      <c r="AF210" s="79" t="s">
        <v>207</v>
      </c>
      <c r="AG210" s="79" t="s">
        <v>722</v>
      </c>
      <c r="AH210" s="78">
        <v>0.24</v>
      </c>
    </row>
    <row r="211" spans="23:34" x14ac:dyDescent="0.25">
      <c r="W211" s="79"/>
      <c r="X211" s="79"/>
      <c r="Y211" s="79"/>
      <c r="Z211" s="79"/>
      <c r="AA211" s="79"/>
      <c r="AB211" s="79"/>
      <c r="AC211" s="79" t="s">
        <v>151</v>
      </c>
      <c r="AD211" s="79" t="s">
        <v>18</v>
      </c>
      <c r="AE211" s="79"/>
      <c r="AF211" s="79" t="s">
        <v>208</v>
      </c>
      <c r="AG211" s="79" t="s">
        <v>722</v>
      </c>
      <c r="AH211" s="78">
        <v>0.24</v>
      </c>
    </row>
    <row r="212" spans="23:34" x14ac:dyDescent="0.25">
      <c r="W212" s="79"/>
      <c r="X212" s="79"/>
      <c r="Y212" s="79"/>
      <c r="Z212" s="79"/>
      <c r="AA212" s="79"/>
      <c r="AB212" s="79"/>
      <c r="AC212" s="79" t="s">
        <v>224</v>
      </c>
      <c r="AD212" s="79" t="s">
        <v>722</v>
      </c>
      <c r="AE212" s="79"/>
      <c r="AF212" s="79" t="s">
        <v>209</v>
      </c>
      <c r="AG212" s="79" t="s">
        <v>722</v>
      </c>
      <c r="AH212" s="78">
        <v>0.24</v>
      </c>
    </row>
    <row r="213" spans="23:34" x14ac:dyDescent="0.25">
      <c r="W213" s="79"/>
      <c r="X213" s="79"/>
      <c r="Y213" s="79"/>
      <c r="Z213" s="79"/>
      <c r="AA213" s="79"/>
      <c r="AB213" s="79"/>
      <c r="AC213" s="79" t="s">
        <v>225</v>
      </c>
      <c r="AD213" s="79" t="s">
        <v>722</v>
      </c>
      <c r="AE213" s="79"/>
      <c r="AF213" s="79" t="s">
        <v>210</v>
      </c>
      <c r="AG213" s="79" t="s">
        <v>722</v>
      </c>
      <c r="AH213" s="78">
        <v>0.24</v>
      </c>
    </row>
    <row r="214" spans="23:34" x14ac:dyDescent="0.25">
      <c r="W214" s="79"/>
      <c r="X214" s="79"/>
      <c r="Y214" s="79"/>
      <c r="Z214" s="79"/>
      <c r="AA214" s="79"/>
      <c r="AB214" s="79"/>
      <c r="AC214" s="79" t="s">
        <v>78</v>
      </c>
      <c r="AD214" s="79" t="s">
        <v>16</v>
      </c>
      <c r="AE214" s="79"/>
      <c r="AF214" s="79" t="s">
        <v>211</v>
      </c>
      <c r="AG214" s="79" t="s">
        <v>722</v>
      </c>
      <c r="AH214" s="78">
        <v>0.24</v>
      </c>
    </row>
    <row r="215" spans="23:34" x14ac:dyDescent="0.25">
      <c r="W215" s="79"/>
      <c r="X215" s="79"/>
      <c r="Y215" s="79"/>
      <c r="Z215" s="79"/>
      <c r="AA215" s="79"/>
      <c r="AB215" s="79"/>
      <c r="AC215" s="79" t="s">
        <v>126</v>
      </c>
      <c r="AD215" s="79" t="s">
        <v>17</v>
      </c>
      <c r="AE215" s="79"/>
      <c r="AF215" s="79" t="s">
        <v>212</v>
      </c>
      <c r="AG215" s="79" t="s">
        <v>722</v>
      </c>
      <c r="AH215" s="78">
        <v>0.24</v>
      </c>
    </row>
    <row r="216" spans="23:34" ht="15.75" customHeight="1" x14ac:dyDescent="0.25">
      <c r="W216" s="79"/>
      <c r="X216" s="79"/>
      <c r="Y216" s="79"/>
      <c r="Z216" s="79"/>
      <c r="AA216" s="79"/>
      <c r="AB216" s="79"/>
      <c r="AC216" s="79" t="s">
        <v>127</v>
      </c>
      <c r="AD216" s="79" t="s">
        <v>17</v>
      </c>
      <c r="AE216" s="79"/>
      <c r="AF216" s="79" t="s">
        <v>213</v>
      </c>
      <c r="AG216" s="79" t="s">
        <v>722</v>
      </c>
      <c r="AH216" s="78">
        <v>0.24</v>
      </c>
    </row>
    <row r="217" spans="23:34" x14ac:dyDescent="0.25">
      <c r="W217" s="79"/>
      <c r="X217" s="79"/>
      <c r="Y217" s="79"/>
      <c r="Z217" s="79"/>
      <c r="AA217" s="79"/>
      <c r="AB217" s="79"/>
      <c r="AC217" s="79" t="s">
        <v>79</v>
      </c>
      <c r="AD217" s="79" t="s">
        <v>16</v>
      </c>
      <c r="AE217" s="79"/>
      <c r="AF217" s="79" t="s">
        <v>214</v>
      </c>
      <c r="AG217" s="79" t="s">
        <v>722</v>
      </c>
      <c r="AH217" s="78">
        <v>0.24</v>
      </c>
    </row>
    <row r="218" spans="23:34" x14ac:dyDescent="0.25">
      <c r="W218" s="79"/>
      <c r="X218" s="79"/>
      <c r="Y218" s="79"/>
      <c r="Z218" s="79"/>
      <c r="AA218" s="79"/>
      <c r="AB218" s="79"/>
      <c r="AC218" s="79" t="s">
        <v>190</v>
      </c>
      <c r="AD218" s="79" t="s">
        <v>242</v>
      </c>
      <c r="AE218" s="79"/>
      <c r="AF218" s="79" t="s">
        <v>215</v>
      </c>
      <c r="AG218" s="79" t="s">
        <v>722</v>
      </c>
      <c r="AH218" s="78">
        <v>0.24</v>
      </c>
    </row>
    <row r="219" spans="23:34" x14ac:dyDescent="0.25">
      <c r="W219" s="79"/>
      <c r="X219" s="79"/>
      <c r="Y219" s="79"/>
      <c r="Z219" s="79"/>
      <c r="AA219" s="79"/>
      <c r="AB219" s="79"/>
      <c r="AC219" s="79" t="s">
        <v>128</v>
      </c>
      <c r="AD219" s="79" t="s">
        <v>17</v>
      </c>
      <c r="AE219" s="79"/>
      <c r="AF219" s="79" t="s">
        <v>216</v>
      </c>
      <c r="AG219" s="79" t="s">
        <v>722</v>
      </c>
      <c r="AH219" s="78">
        <v>0.24</v>
      </c>
    </row>
    <row r="220" spans="23:34" x14ac:dyDescent="0.25">
      <c r="W220" s="79"/>
      <c r="X220" s="79"/>
      <c r="Y220" s="79"/>
      <c r="Z220" s="79"/>
      <c r="AA220" s="79"/>
      <c r="AB220" s="79"/>
      <c r="AC220" s="79" t="s">
        <v>191</v>
      </c>
      <c r="AD220" s="79" t="s">
        <v>242</v>
      </c>
      <c r="AE220" s="79"/>
      <c r="AF220" s="79" t="s">
        <v>217</v>
      </c>
      <c r="AG220" s="79" t="s">
        <v>722</v>
      </c>
      <c r="AH220" s="78">
        <v>0.24</v>
      </c>
    </row>
    <row r="221" spans="23:34" x14ac:dyDescent="0.25">
      <c r="W221" s="79"/>
      <c r="X221" s="79"/>
      <c r="Y221" s="79"/>
      <c r="Z221" s="79"/>
      <c r="AA221" s="79"/>
      <c r="AB221" s="79"/>
      <c r="AC221" s="79" t="s">
        <v>80</v>
      </c>
      <c r="AD221" s="79" t="s">
        <v>16</v>
      </c>
      <c r="AE221" s="79"/>
      <c r="AF221" s="79" t="s">
        <v>218</v>
      </c>
      <c r="AG221" s="79" t="s">
        <v>722</v>
      </c>
      <c r="AH221" s="78">
        <v>0.24</v>
      </c>
    </row>
    <row r="222" spans="23:34" x14ac:dyDescent="0.25">
      <c r="W222" s="79"/>
      <c r="X222" s="79"/>
      <c r="Y222" s="79"/>
      <c r="Z222" s="79"/>
      <c r="AA222" s="79"/>
      <c r="AB222" s="79"/>
      <c r="AC222" s="79" t="s">
        <v>226</v>
      </c>
      <c r="AD222" s="79" t="s">
        <v>722</v>
      </c>
      <c r="AE222" s="79"/>
      <c r="AF222" s="79" t="s">
        <v>219</v>
      </c>
      <c r="AG222" s="79" t="s">
        <v>722</v>
      </c>
      <c r="AH222" s="78">
        <v>0.24</v>
      </c>
    </row>
    <row r="223" spans="23:34" x14ac:dyDescent="0.25">
      <c r="W223" s="79"/>
      <c r="X223" s="79"/>
      <c r="Y223" s="79"/>
      <c r="Z223" s="79"/>
      <c r="AA223" s="79"/>
      <c r="AB223" s="79"/>
      <c r="AC223" s="79" t="s">
        <v>240</v>
      </c>
      <c r="AD223" s="79" t="s">
        <v>722</v>
      </c>
      <c r="AE223" s="79"/>
      <c r="AF223" s="79" t="s">
        <v>220</v>
      </c>
      <c r="AG223" s="79" t="s">
        <v>722</v>
      </c>
      <c r="AH223" s="78">
        <v>0.24</v>
      </c>
    </row>
    <row r="224" spans="23:34" x14ac:dyDescent="0.25">
      <c r="W224" s="79"/>
      <c r="X224" s="79"/>
      <c r="Y224" s="79"/>
      <c r="Z224" s="79"/>
      <c r="AA224" s="79"/>
      <c r="AB224" s="79"/>
      <c r="AC224" s="79" t="s">
        <v>227</v>
      </c>
      <c r="AD224" s="79" t="s">
        <v>722</v>
      </c>
      <c r="AE224" s="79"/>
      <c r="AF224" s="79" t="s">
        <v>221</v>
      </c>
      <c r="AG224" s="79" t="s">
        <v>722</v>
      </c>
      <c r="AH224" s="78">
        <v>0.24</v>
      </c>
    </row>
    <row r="225" spans="23:34" x14ac:dyDescent="0.25">
      <c r="W225" s="79"/>
      <c r="X225" s="79"/>
      <c r="Y225" s="79"/>
      <c r="Z225" s="79"/>
      <c r="AA225" s="79"/>
      <c r="AB225" s="79"/>
      <c r="AC225" s="79" t="s">
        <v>129</v>
      </c>
      <c r="AD225" s="79" t="s">
        <v>17</v>
      </c>
      <c r="AE225" s="79"/>
      <c r="AF225" s="79" t="s">
        <v>222</v>
      </c>
      <c r="AG225" s="79" t="s">
        <v>722</v>
      </c>
      <c r="AH225" s="78">
        <v>0.24</v>
      </c>
    </row>
    <row r="226" spans="23:34" x14ac:dyDescent="0.25">
      <c r="W226" s="79"/>
      <c r="X226" s="79"/>
      <c r="Y226" s="79"/>
      <c r="Z226" s="79"/>
      <c r="AA226" s="79"/>
      <c r="AB226" s="79"/>
      <c r="AC226" s="79" t="s">
        <v>152</v>
      </c>
      <c r="AD226" s="79" t="s">
        <v>18</v>
      </c>
      <c r="AE226" s="79"/>
      <c r="AF226" s="79" t="s">
        <v>223</v>
      </c>
      <c r="AG226" s="79" t="s">
        <v>722</v>
      </c>
      <c r="AH226" s="78">
        <v>0.24</v>
      </c>
    </row>
    <row r="227" spans="23:34" x14ac:dyDescent="0.25">
      <c r="W227" s="79"/>
      <c r="X227" s="79"/>
      <c r="Y227" s="79"/>
      <c r="Z227" s="79"/>
      <c r="AA227" s="79"/>
      <c r="AB227" s="79"/>
      <c r="AC227" s="79" t="s">
        <v>241</v>
      </c>
      <c r="AD227" s="79" t="s">
        <v>722</v>
      </c>
      <c r="AE227" s="79"/>
      <c r="AF227" s="79" t="s">
        <v>224</v>
      </c>
      <c r="AG227" s="79" t="s">
        <v>722</v>
      </c>
      <c r="AH227" s="78">
        <v>0.24</v>
      </c>
    </row>
    <row r="228" spans="23:34" x14ac:dyDescent="0.25">
      <c r="W228" s="79"/>
      <c r="X228" s="79"/>
      <c r="Y228" s="79"/>
      <c r="Z228" s="79"/>
      <c r="AA228" s="79"/>
      <c r="AB228" s="79"/>
      <c r="AC228" s="79" t="s">
        <v>130</v>
      </c>
      <c r="AD228" s="79" t="s">
        <v>17</v>
      </c>
      <c r="AE228" s="79"/>
      <c r="AF228" s="79" t="s">
        <v>225</v>
      </c>
      <c r="AG228" s="79" t="s">
        <v>722</v>
      </c>
      <c r="AH228" s="78">
        <v>0.24</v>
      </c>
    </row>
    <row r="229" spans="23:34" x14ac:dyDescent="0.25">
      <c r="W229" s="79"/>
      <c r="X229" s="79"/>
      <c r="Y229" s="79"/>
      <c r="Z229" s="79"/>
      <c r="AA229" s="79"/>
      <c r="AB229" s="79"/>
      <c r="AC229" s="79" t="s">
        <v>131</v>
      </c>
      <c r="AD229" s="79" t="s">
        <v>17</v>
      </c>
      <c r="AE229" s="79"/>
      <c r="AF229" s="79" t="s">
        <v>226</v>
      </c>
      <c r="AG229" s="79" t="s">
        <v>722</v>
      </c>
      <c r="AH229" s="78">
        <v>0.19</v>
      </c>
    </row>
    <row r="230" spans="23:34" x14ac:dyDescent="0.25">
      <c r="W230" s="79"/>
      <c r="X230" s="79"/>
      <c r="Y230" s="79"/>
      <c r="Z230" s="79"/>
      <c r="AA230" s="79"/>
      <c r="AB230" s="79"/>
      <c r="AC230" s="79" t="s">
        <v>81</v>
      </c>
      <c r="AD230" s="79" t="s">
        <v>16</v>
      </c>
      <c r="AE230" s="79"/>
      <c r="AF230" s="79" t="s">
        <v>227</v>
      </c>
      <c r="AG230" s="79" t="s">
        <v>722</v>
      </c>
      <c r="AH230" s="78">
        <v>0.24</v>
      </c>
    </row>
    <row r="231" spans="23:34" x14ac:dyDescent="0.25">
      <c r="W231" s="79"/>
      <c r="X231" s="79"/>
      <c r="Y231" s="79"/>
      <c r="Z231" s="79"/>
      <c r="AA231" s="79"/>
      <c r="AB231" s="79"/>
      <c r="AC231" s="79" t="s">
        <v>132</v>
      </c>
      <c r="AD231" s="79" t="s">
        <v>17</v>
      </c>
      <c r="AE231" s="79"/>
      <c r="AF231" s="79"/>
      <c r="AG231" s="79"/>
      <c r="AH231" s="78">
        <v>0.24</v>
      </c>
    </row>
    <row r="232" spans="23:34" x14ac:dyDescent="0.25">
      <c r="W232" s="79"/>
      <c r="X232" s="79"/>
      <c r="Y232" s="79"/>
      <c r="Z232" s="79"/>
      <c r="AA232" s="79"/>
      <c r="AB232" s="79"/>
      <c r="AC232" s="79" t="s">
        <v>192</v>
      </c>
      <c r="AD232" s="79" t="s">
        <v>242</v>
      </c>
      <c r="AE232" s="79"/>
      <c r="AF232" s="79" t="s">
        <v>1427</v>
      </c>
      <c r="AG232" s="79"/>
      <c r="AH232" s="78">
        <v>0.24</v>
      </c>
    </row>
    <row r="233" spans="23:34" x14ac:dyDescent="0.25">
      <c r="W233" s="79"/>
      <c r="X233" s="79"/>
      <c r="Y233" s="79"/>
      <c r="Z233" s="79"/>
      <c r="AA233" s="79"/>
      <c r="AB233" s="79"/>
      <c r="AC233" s="79" t="s">
        <v>82</v>
      </c>
      <c r="AD233" s="79" t="s">
        <v>16</v>
      </c>
      <c r="AE233" s="79"/>
      <c r="AF233" s="79" t="s">
        <v>228</v>
      </c>
      <c r="AG233" s="79" t="s">
        <v>722</v>
      </c>
      <c r="AH233" s="78">
        <v>0.24</v>
      </c>
    </row>
    <row r="234" spans="23:34" x14ac:dyDescent="0.25">
      <c r="W234" s="79"/>
      <c r="X234" s="79"/>
      <c r="Y234" s="79"/>
      <c r="Z234" s="79"/>
      <c r="AA234" s="79"/>
      <c r="AB234" s="79"/>
      <c r="AC234" s="79" t="s">
        <v>83</v>
      </c>
      <c r="AD234" s="79" t="s">
        <v>16</v>
      </c>
      <c r="AE234" s="79"/>
      <c r="AF234" s="79" t="s">
        <v>229</v>
      </c>
      <c r="AG234" s="79" t="s">
        <v>722</v>
      </c>
      <c r="AH234" s="78">
        <v>0.24</v>
      </c>
    </row>
    <row r="235" spans="23:34" x14ac:dyDescent="0.25">
      <c r="W235" s="79"/>
      <c r="X235" s="79"/>
      <c r="Y235" s="79"/>
      <c r="Z235" s="79"/>
      <c r="AA235" s="79"/>
      <c r="AB235" s="79"/>
      <c r="AC235" s="79"/>
      <c r="AD235" s="79"/>
      <c r="AE235" s="79"/>
      <c r="AF235" s="79" t="s">
        <v>230</v>
      </c>
      <c r="AG235" s="79" t="s">
        <v>722</v>
      </c>
      <c r="AH235" s="78">
        <v>0.24</v>
      </c>
    </row>
    <row r="236" spans="23:34" x14ac:dyDescent="0.25">
      <c r="W236" s="79"/>
      <c r="X236" s="79"/>
      <c r="Y236" s="79"/>
      <c r="Z236" s="79"/>
      <c r="AA236" s="79"/>
      <c r="AB236" s="79"/>
      <c r="AC236" s="79"/>
      <c r="AD236" s="79"/>
      <c r="AE236" s="79"/>
      <c r="AF236" s="79" t="s">
        <v>231</v>
      </c>
      <c r="AG236" s="79" t="s">
        <v>722</v>
      </c>
      <c r="AH236" s="78">
        <v>0.24</v>
      </c>
    </row>
    <row r="237" spans="23:34" x14ac:dyDescent="0.25">
      <c r="W237" s="79"/>
      <c r="X237" s="79"/>
      <c r="Y237" s="79"/>
      <c r="Z237" s="79"/>
      <c r="AA237" s="79"/>
      <c r="AB237" s="79"/>
      <c r="AC237" s="79"/>
      <c r="AD237" s="79"/>
      <c r="AE237" s="79"/>
      <c r="AF237" s="79" t="s">
        <v>232</v>
      </c>
      <c r="AG237" s="79" t="s">
        <v>722</v>
      </c>
      <c r="AH237" s="78">
        <v>0.24</v>
      </c>
    </row>
    <row r="238" spans="23:34" x14ac:dyDescent="0.25">
      <c r="W238" s="79"/>
      <c r="X238" s="79"/>
      <c r="Y238" s="79"/>
      <c r="Z238" s="79"/>
      <c r="AA238" s="79"/>
      <c r="AB238" s="79"/>
      <c r="AC238" s="79"/>
      <c r="AD238" s="79"/>
      <c r="AE238" s="79"/>
      <c r="AF238" s="79" t="s">
        <v>233</v>
      </c>
      <c r="AG238" s="79" t="s">
        <v>722</v>
      </c>
      <c r="AH238" s="78">
        <v>0.24</v>
      </c>
    </row>
    <row r="239" spans="23:34" x14ac:dyDescent="0.25">
      <c r="W239" s="79"/>
      <c r="X239" s="79"/>
      <c r="Y239" s="79"/>
      <c r="Z239" s="79"/>
      <c r="AA239" s="79"/>
      <c r="AB239" s="79"/>
      <c r="AC239" s="79"/>
      <c r="AD239" s="79"/>
      <c r="AE239" s="79"/>
      <c r="AF239" s="79" t="s">
        <v>234</v>
      </c>
      <c r="AG239" s="79" t="s">
        <v>722</v>
      </c>
      <c r="AH239" s="78">
        <v>0.24</v>
      </c>
    </row>
    <row r="240" spans="23:34" x14ac:dyDescent="0.25">
      <c r="W240" s="79"/>
      <c r="X240" s="79"/>
      <c r="Y240" s="79"/>
      <c r="Z240" s="79"/>
      <c r="AA240" s="79"/>
      <c r="AB240" s="79"/>
      <c r="AC240" s="79"/>
      <c r="AD240" s="79"/>
      <c r="AE240" s="79"/>
      <c r="AF240" s="79" t="s">
        <v>235</v>
      </c>
      <c r="AG240" s="79" t="s">
        <v>722</v>
      </c>
      <c r="AH240" s="78">
        <v>0.24</v>
      </c>
    </row>
    <row r="241" spans="23:34" x14ac:dyDescent="0.25">
      <c r="W241" s="79"/>
      <c r="X241" s="79"/>
      <c r="Y241" s="79"/>
      <c r="Z241" s="79"/>
      <c r="AA241" s="79"/>
      <c r="AB241" s="79"/>
      <c r="AC241" s="79"/>
      <c r="AD241" s="79"/>
      <c r="AE241" s="79"/>
      <c r="AF241" s="79" t="s">
        <v>236</v>
      </c>
      <c r="AG241" s="79" t="s">
        <v>722</v>
      </c>
      <c r="AH241" s="78">
        <v>0.24</v>
      </c>
    </row>
    <row r="242" spans="23:34" x14ac:dyDescent="0.25">
      <c r="W242" s="79"/>
      <c r="X242" s="79"/>
      <c r="Y242" s="79"/>
      <c r="Z242" s="79"/>
      <c r="AA242" s="79"/>
      <c r="AB242" s="79"/>
      <c r="AC242" s="79"/>
      <c r="AD242" s="79"/>
      <c r="AE242" s="79"/>
      <c r="AF242" s="79" t="s">
        <v>237</v>
      </c>
      <c r="AG242" s="79" t="s">
        <v>722</v>
      </c>
      <c r="AH242" s="78">
        <v>0.24</v>
      </c>
    </row>
    <row r="243" spans="23:34" x14ac:dyDescent="0.25">
      <c r="W243" s="79"/>
      <c r="X243" s="79"/>
      <c r="Y243" s="79"/>
      <c r="Z243" s="79"/>
      <c r="AA243" s="79"/>
      <c r="AB243" s="79"/>
      <c r="AE243" s="79"/>
      <c r="AF243" s="79" t="s">
        <v>238</v>
      </c>
      <c r="AG243" s="79" t="s">
        <v>722</v>
      </c>
      <c r="AH243" s="78">
        <v>0.24</v>
      </c>
    </row>
    <row r="244" spans="23:34" x14ac:dyDescent="0.25">
      <c r="W244" s="79"/>
      <c r="X244" s="79"/>
      <c r="Y244" s="79"/>
      <c r="Z244" s="79"/>
      <c r="AA244" s="79"/>
      <c r="AB244" s="79"/>
      <c r="AE244" s="79"/>
      <c r="AF244" s="79" t="s">
        <v>239</v>
      </c>
      <c r="AG244" s="79" t="s">
        <v>722</v>
      </c>
      <c r="AH244" s="78">
        <v>0.24</v>
      </c>
    </row>
    <row r="245" spans="23:34" x14ac:dyDescent="0.25">
      <c r="W245" s="79"/>
      <c r="X245" s="79"/>
      <c r="Y245" s="79"/>
      <c r="Z245" s="79"/>
      <c r="AA245" s="79"/>
      <c r="AB245" s="79"/>
      <c r="AE245" s="79"/>
      <c r="AF245" s="79" t="s">
        <v>240</v>
      </c>
      <c r="AG245" s="79" t="s">
        <v>722</v>
      </c>
      <c r="AH245" s="78">
        <v>0.24</v>
      </c>
    </row>
    <row r="246" spans="23:34" x14ac:dyDescent="0.25">
      <c r="W246" s="79"/>
      <c r="X246" s="79"/>
      <c r="Y246" s="79"/>
      <c r="Z246" s="79"/>
      <c r="AA246" s="79"/>
      <c r="AB246" s="79"/>
      <c r="AE246" s="79"/>
      <c r="AF246" s="79" t="s">
        <v>241</v>
      </c>
      <c r="AG246" s="79" t="s">
        <v>722</v>
      </c>
      <c r="AH246" s="78">
        <v>0.24</v>
      </c>
    </row>
  </sheetData>
  <sheetProtection algorithmName="SHA-512" hashValue="7N5j4vqwlMCfBHVfxPMKjI4q4h8t99UKGGmFamvAwVG1EBoAbbWQQc5J945U/1A5DVu78SgxYl1b0rJG5SUcBg==" saltValue="Af+38gzRzpRN0qQ/r0vacw==" spinCount="100000" sheet="1" objects="1" scenarios="1" selectLockedCells="1"/>
  <mergeCells count="12">
    <mergeCell ref="V15:V16"/>
    <mergeCell ref="D24:E24"/>
    <mergeCell ref="D23:E23"/>
    <mergeCell ref="D22:E22"/>
    <mergeCell ref="D15:F15"/>
    <mergeCell ref="D17:E17"/>
    <mergeCell ref="L18:M18"/>
    <mergeCell ref="J15:K15"/>
    <mergeCell ref="J17:K17"/>
    <mergeCell ref="D19:E19"/>
    <mergeCell ref="J19:K19"/>
    <mergeCell ref="L19:M19"/>
  </mergeCells>
  <dataValidations xWindow="926" yWindow="658" count="6">
    <dataValidation allowBlank="1" showInputMessage="1" showErrorMessage="1" prompt="Default above-ground biomass content in forest in the region/country where the project activity is located. Please check the List" sqref="I19" xr:uid="{00000000-0002-0000-0200-000000000000}"/>
    <dataValidation type="list" allowBlank="1" showInputMessage="1" showErrorMessage="1" sqref="J17:K17" xr:uid="{00000000-0002-0000-0200-000001000000}">
      <formula1>"Boreal,Temperate,Tropical"</formula1>
    </dataValidation>
    <dataValidation allowBlank="1" showInputMessage="1" showErrorMessage="1" prompt="Tonnes dry matter per ha " sqref="H20" xr:uid="{00000000-0002-0000-0200-000002000000}"/>
    <dataValidation type="list" allowBlank="1" showInputMessage="1" showErrorMessage="1" sqref="D22:E22" xr:uid="{00000000-0002-0000-0200-000003000000}">
      <formula1>$U$17:$U$25</formula1>
    </dataValidation>
    <dataValidation allowBlank="1" showErrorMessage="1" prompt="_x000a_" sqref="J19:K19" xr:uid="{00000000-0002-0000-0200-000004000000}"/>
    <dataValidation type="list" allowBlank="1" showInputMessage="1" showErrorMessage="1" sqref="D17:E17" xr:uid="{00000000-0002-0000-0200-000005000000}">
      <formula1>$AC$21:$AC$231</formula1>
    </dataValidation>
  </dataValidations>
  <hyperlinks>
    <hyperlink ref="L19:M19" location="Default_Values!AD1" display="Click here for IPCC Default values" xr:uid="{00000000-0004-0000-0200-000000000000}"/>
  </hyperlinks>
  <pageMargins left="0.7" right="0.7" top="0.75" bottom="0.75" header="0.3" footer="0.3"/>
  <drawing r:id="rId1"/>
  <extLst>
    <ext xmlns:x14="http://schemas.microsoft.com/office/spreadsheetml/2009/9/main" uri="{78C0D931-6437-407d-A8EE-F0AAD7539E65}">
      <x14:conditionalFormattings>
        <x14:conditionalFormatting xmlns:xm="http://schemas.microsoft.com/office/excel/2006/main">
          <x14:cfRule type="expression" priority="18" id="{23BD1293-56C8-48C0-9504-03C1C41CE99E}">
            <xm:f>Accuracy!$E$9="No"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x14:dxf>
          </x14:cfRule>
          <xm:sqref>J19:M19</xm:sqref>
        </x14:conditionalFormatting>
        <x14:conditionalFormatting xmlns:xm="http://schemas.microsoft.com/office/excel/2006/main">
          <x14:cfRule type="expression" priority="12" id="{86E733DB-E4E9-4002-B463-E4EAD01BBC34}">
            <xm:f>AND(Accuracy!$E$11="No",Accuracy!$E$13="No")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x14:dxf>
          </x14:cfRule>
          <xm:sqref>J17:K17</xm:sqref>
        </x14:conditionalFormatting>
        <x14:conditionalFormatting xmlns:xm="http://schemas.microsoft.com/office/excel/2006/main">
          <x14:cfRule type="expression" priority="5" id="{BFAC76E2-4049-48A2-B966-59672CC6EEA6}">
            <xm:f>AND(Accuracy!$E$11="No",Accuracy!$E$13="No")</xm:f>
            <x14:dxf>
              <font>
                <color theme="0" tint="-0.34998626667073579"/>
              </font>
            </x14:dxf>
          </x14:cfRule>
          <xm:sqref>I17</xm:sqref>
        </x14:conditionalFormatting>
        <x14:conditionalFormatting xmlns:xm="http://schemas.microsoft.com/office/excel/2006/main">
          <x14:cfRule type="expression" priority="4" id="{B30F28BA-AB66-4A27-B836-731FA48D1B17}">
            <xm:f>Accuracy!$E$9="No"</xm:f>
            <x14:dxf>
              <font>
                <color theme="0" tint="-0.34998626667073579"/>
              </font>
            </x14:dxf>
          </x14:cfRule>
          <xm:sqref>H19:I20</xm:sqref>
        </x14:conditionalFormatting>
        <x14:conditionalFormatting xmlns:xm="http://schemas.microsoft.com/office/excel/2006/main">
          <x14:cfRule type="expression" priority="102" id="{6A40CF85-37D7-439B-A533-34344820372F}">
            <xm:f>Accuracy!$T$6="No"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x14:dxf>
          </x14:cfRule>
          <xm:sqref>D24:E24 D22:E22</xm:sqref>
        </x14:conditionalFormatting>
        <x14:conditionalFormatting xmlns:xm="http://schemas.microsoft.com/office/excel/2006/main">
          <x14:cfRule type="expression" priority="104" id="{CB72E70C-4EDB-4A12-940E-049B5F31470D}">
            <xm:f>Accuracy!$T$6="No"</xm:f>
            <x14:dxf>
              <font>
                <color theme="0" tint="-0.34998626667073579"/>
              </font>
            </x14:dxf>
          </x14:cfRule>
          <xm:sqref>C22:C24</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8"/>
  <dimension ref="A1:AD836"/>
  <sheetViews>
    <sheetView zoomScale="85" zoomScaleNormal="85" workbookViewId="0"/>
  </sheetViews>
  <sheetFormatPr defaultColWidth="11.42578125" defaultRowHeight="15" customHeight="1" x14ac:dyDescent="0.25"/>
  <cols>
    <col min="1" max="1" width="11.42578125" style="20"/>
    <col min="2" max="2" width="27" style="3" customWidth="1"/>
    <col min="3" max="5" width="16" style="3" customWidth="1"/>
    <col min="6" max="6" width="28.42578125" style="3" customWidth="1"/>
    <col min="7" max="7" width="13.42578125" style="3" bestFit="1" customWidth="1"/>
    <col min="8" max="8" width="32.140625" style="3" customWidth="1"/>
    <col min="9" max="9" width="11.42578125" style="3"/>
    <col min="10" max="10" width="25.28515625" style="3" customWidth="1"/>
    <col min="11" max="19" width="11.42578125" style="3"/>
    <col min="20" max="20" width="21.7109375" style="3" customWidth="1"/>
    <col min="21" max="21" width="29.42578125" style="3" bestFit="1" customWidth="1"/>
    <col min="22" max="22" width="34" style="3" bestFit="1" customWidth="1"/>
    <col min="23" max="23" width="21.7109375" style="3" customWidth="1"/>
    <col min="24" max="24" width="13.28515625" style="3" customWidth="1"/>
    <col min="25" max="25" width="18" style="3" bestFit="1" customWidth="1"/>
    <col min="26" max="26" width="15.28515625" style="3" customWidth="1"/>
    <col min="27" max="27" width="36.42578125" style="3" bestFit="1" customWidth="1"/>
    <col min="28" max="28" width="29.7109375" style="3" bestFit="1" customWidth="1"/>
    <col min="29" max="29" width="17" style="3" bestFit="1" customWidth="1"/>
    <col min="30" max="30" width="29.42578125" style="3" bestFit="1" customWidth="1"/>
    <col min="31" max="32" width="12" style="3" customWidth="1"/>
    <col min="33" max="33" width="11.42578125" style="3"/>
    <col min="34" max="34" width="16.7109375" style="3" customWidth="1"/>
    <col min="35" max="35" width="16.42578125" style="3" customWidth="1"/>
    <col min="36" max="36" width="13.42578125" style="3" customWidth="1"/>
    <col min="37" max="37" width="17" style="3" customWidth="1"/>
    <col min="38" max="40" width="13.42578125" style="3" customWidth="1"/>
    <col min="41" max="16384" width="11.42578125" style="3"/>
  </cols>
  <sheetData>
    <row r="1" spans="1:30" s="32" customFormat="1" ht="120" customHeight="1" x14ac:dyDescent="0.25"/>
    <row r="2" spans="1:30" ht="72" hidden="1" customHeight="1" x14ac:dyDescent="0.25"/>
    <row r="4" spans="1:30" ht="15" customHeight="1" x14ac:dyDescent="0.35">
      <c r="J4" s="157"/>
      <c r="K4" s="154" t="s">
        <v>1581</v>
      </c>
    </row>
    <row r="5" spans="1:30" ht="15" customHeight="1" x14ac:dyDescent="0.35">
      <c r="T5" s="157"/>
      <c r="X5" s="154" t="s">
        <v>1361</v>
      </c>
    </row>
    <row r="6" spans="1:30" ht="15" customHeight="1" x14ac:dyDescent="0.25">
      <c r="K6" s="523" t="s">
        <v>1274</v>
      </c>
      <c r="L6" s="523"/>
      <c r="M6" s="523"/>
      <c r="N6" s="523"/>
      <c r="O6" s="523"/>
    </row>
    <row r="7" spans="1:30" ht="15" customHeight="1" x14ac:dyDescent="0.25">
      <c r="K7" s="523"/>
      <c r="L7" s="523"/>
      <c r="M7" s="523"/>
      <c r="N7" s="523"/>
      <c r="O7" s="523"/>
      <c r="W7" s="523" t="s">
        <v>1455</v>
      </c>
      <c r="X7" s="523"/>
      <c r="Y7" s="523"/>
      <c r="Z7" s="523"/>
      <c r="AA7" s="523"/>
    </row>
    <row r="8" spans="1:30" ht="15" customHeight="1" x14ac:dyDescent="0.35">
      <c r="E8" s="522" t="s">
        <v>1272</v>
      </c>
      <c r="F8" s="522"/>
      <c r="K8" s="523"/>
      <c r="L8" s="523"/>
      <c r="M8" s="523"/>
      <c r="N8" s="523"/>
      <c r="O8" s="523"/>
      <c r="W8" s="523"/>
      <c r="X8" s="523"/>
      <c r="Y8" s="523"/>
      <c r="Z8" s="523"/>
      <c r="AA8" s="523"/>
    </row>
    <row r="9" spans="1:30" ht="15" customHeight="1" x14ac:dyDescent="0.25">
      <c r="K9" s="523"/>
      <c r="L9" s="523"/>
      <c r="M9" s="523"/>
      <c r="N9" s="523"/>
      <c r="O9" s="523"/>
      <c r="W9" s="523"/>
      <c r="X9" s="523"/>
      <c r="Y9" s="523"/>
      <c r="Z9" s="523"/>
      <c r="AA9" s="523"/>
    </row>
    <row r="10" spans="1:30" ht="15" customHeight="1" x14ac:dyDescent="0.35">
      <c r="A10" s="21"/>
      <c r="K10" s="523"/>
      <c r="L10" s="523"/>
      <c r="M10" s="523"/>
      <c r="N10" s="523"/>
      <c r="O10" s="523"/>
      <c r="U10" s="127"/>
      <c r="Y10" s="156"/>
    </row>
    <row r="11" spans="1:30" ht="25.5" customHeight="1" thickBot="1" x14ac:dyDescent="0.35">
      <c r="B11" s="145" t="s">
        <v>243</v>
      </c>
      <c r="F11" s="145" t="s">
        <v>1268</v>
      </c>
      <c r="K11" s="523"/>
      <c r="L11" s="523"/>
      <c r="M11" s="523"/>
      <c r="N11" s="523"/>
      <c r="O11" s="523"/>
    </row>
    <row r="12" spans="1:30" ht="45" customHeight="1" thickBot="1" x14ac:dyDescent="0.3">
      <c r="B12" s="535" t="s">
        <v>1591</v>
      </c>
      <c r="C12" s="517"/>
      <c r="D12" s="518"/>
      <c r="F12" s="516" t="s">
        <v>1269</v>
      </c>
      <c r="G12" s="517"/>
      <c r="H12" s="517"/>
      <c r="I12" s="518"/>
      <c r="K12" s="524"/>
      <c r="L12" s="524"/>
      <c r="M12" s="524"/>
      <c r="N12" s="524"/>
      <c r="O12" s="524"/>
    </row>
    <row r="13" spans="1:30" ht="71.25" customHeight="1" thickBot="1" x14ac:dyDescent="0.3">
      <c r="B13" s="536" t="s">
        <v>1271</v>
      </c>
      <c r="C13" s="537"/>
      <c r="D13" s="538"/>
      <c r="F13" s="519" t="s">
        <v>770</v>
      </c>
      <c r="G13" s="520"/>
      <c r="H13" s="520"/>
      <c r="I13" s="521"/>
      <c r="K13" s="525" t="s">
        <v>1275</v>
      </c>
      <c r="L13" s="526"/>
      <c r="M13" s="526"/>
      <c r="N13" s="526"/>
      <c r="O13" s="527"/>
      <c r="T13" s="525" t="s">
        <v>1352</v>
      </c>
      <c r="U13" s="526"/>
      <c r="V13" s="526"/>
      <c r="W13" s="526"/>
      <c r="X13" s="527"/>
      <c r="Z13" s="554" t="s">
        <v>1408</v>
      </c>
      <c r="AA13" s="555"/>
      <c r="AB13" s="555"/>
      <c r="AC13" s="555"/>
      <c r="AD13" s="556"/>
    </row>
    <row r="14" spans="1:30" ht="42" customHeight="1" thickBot="1" x14ac:dyDescent="0.3">
      <c r="B14" s="132" t="s">
        <v>244</v>
      </c>
      <c r="C14" s="133" t="s">
        <v>1270</v>
      </c>
      <c r="D14" s="133" t="s">
        <v>28</v>
      </c>
      <c r="F14" s="132" t="s">
        <v>1</v>
      </c>
      <c r="G14" s="133" t="s">
        <v>1270</v>
      </c>
      <c r="H14" s="133" t="s">
        <v>708</v>
      </c>
      <c r="I14" s="134" t="s">
        <v>771</v>
      </c>
      <c r="K14" s="146" t="s">
        <v>646</v>
      </c>
      <c r="L14" s="22" t="s">
        <v>647</v>
      </c>
      <c r="M14" s="22" t="s">
        <v>1273</v>
      </c>
      <c r="N14" s="26"/>
      <c r="O14" s="147" t="s">
        <v>645</v>
      </c>
      <c r="T14" s="164" t="s">
        <v>1353</v>
      </c>
      <c r="U14" s="165" t="s">
        <v>1282</v>
      </c>
      <c r="V14" s="165" t="s">
        <v>1283</v>
      </c>
      <c r="W14" s="165" t="s">
        <v>1284</v>
      </c>
      <c r="X14" s="165" t="s">
        <v>1285</v>
      </c>
      <c r="Z14" s="164" t="s">
        <v>1353</v>
      </c>
      <c r="AA14" s="165" t="s">
        <v>1362</v>
      </c>
      <c r="AB14" s="165" t="s">
        <v>708</v>
      </c>
      <c r="AC14" s="165" t="s">
        <v>1284</v>
      </c>
      <c r="AD14" s="165" t="s">
        <v>1285</v>
      </c>
    </row>
    <row r="15" spans="1:30" ht="15" customHeight="1" thickBot="1" x14ac:dyDescent="0.3">
      <c r="B15" s="11" t="s">
        <v>245</v>
      </c>
      <c r="C15" s="142">
        <v>0.4</v>
      </c>
      <c r="D15" s="23">
        <v>1</v>
      </c>
      <c r="F15" s="135" t="s">
        <v>269</v>
      </c>
      <c r="G15" s="140" t="s">
        <v>772</v>
      </c>
      <c r="H15" s="87" t="s">
        <v>17</v>
      </c>
      <c r="I15" s="136">
        <v>5</v>
      </c>
      <c r="K15" s="541" t="s">
        <v>648</v>
      </c>
      <c r="L15" s="542" t="s">
        <v>649</v>
      </c>
      <c r="M15" s="543" t="s">
        <v>650</v>
      </c>
      <c r="N15" s="27" t="s">
        <v>651</v>
      </c>
      <c r="O15" s="148">
        <v>1.35</v>
      </c>
      <c r="T15" s="545" t="s">
        <v>1286</v>
      </c>
      <c r="U15" s="549" t="s">
        <v>1287</v>
      </c>
      <c r="V15" s="166" t="s">
        <v>1288</v>
      </c>
      <c r="W15" s="178" t="s">
        <v>1289</v>
      </c>
      <c r="X15" s="161" t="s">
        <v>1290</v>
      </c>
      <c r="Z15" s="559" t="s">
        <v>23</v>
      </c>
      <c r="AA15" s="558" t="s">
        <v>1363</v>
      </c>
      <c r="AB15" s="174" t="s">
        <v>1364</v>
      </c>
      <c r="AC15" s="163">
        <v>300</v>
      </c>
      <c r="AD15" s="169" t="s">
        <v>1365</v>
      </c>
    </row>
    <row r="16" spans="1:30" ht="15" customHeight="1" thickBot="1" x14ac:dyDescent="0.3">
      <c r="B16" s="12" t="s">
        <v>246</v>
      </c>
      <c r="C16" s="143">
        <v>0.52</v>
      </c>
      <c r="D16" s="13">
        <v>1</v>
      </c>
      <c r="F16" s="135" t="s">
        <v>271</v>
      </c>
      <c r="G16" s="140">
        <v>0.75</v>
      </c>
      <c r="H16" s="87" t="s">
        <v>17</v>
      </c>
      <c r="I16" s="136">
        <v>5</v>
      </c>
      <c r="K16" s="529"/>
      <c r="L16" s="532"/>
      <c r="M16" s="533"/>
      <c r="N16" s="149" t="s">
        <v>652</v>
      </c>
      <c r="O16" s="150">
        <v>1.1499999999999999</v>
      </c>
      <c r="T16" s="545"/>
      <c r="U16" s="549"/>
      <c r="V16" s="166" t="s">
        <v>1291</v>
      </c>
      <c r="W16" s="177" t="s">
        <v>1292</v>
      </c>
      <c r="X16" s="160" t="s">
        <v>1354</v>
      </c>
      <c r="Z16" s="560"/>
      <c r="AA16" s="551"/>
      <c r="AB16" s="174" t="s">
        <v>1409</v>
      </c>
      <c r="AC16" s="163">
        <v>100</v>
      </c>
      <c r="AD16" s="169" t="s">
        <v>1365</v>
      </c>
    </row>
    <row r="17" spans="2:30" ht="15" customHeight="1" thickBot="1" x14ac:dyDescent="0.3">
      <c r="B17" s="12" t="s">
        <v>247</v>
      </c>
      <c r="C17" s="143">
        <v>0.45</v>
      </c>
      <c r="D17" s="13">
        <v>1</v>
      </c>
      <c r="F17" s="135" t="s">
        <v>773</v>
      </c>
      <c r="G17" s="140" t="s">
        <v>774</v>
      </c>
      <c r="H17" s="87" t="s">
        <v>16</v>
      </c>
      <c r="I17" s="136">
        <v>3</v>
      </c>
      <c r="K17" s="529"/>
      <c r="L17" s="532"/>
      <c r="M17" s="533"/>
      <c r="N17" s="149" t="s">
        <v>653</v>
      </c>
      <c r="O17" s="150">
        <v>3.8</v>
      </c>
      <c r="T17" s="545"/>
      <c r="U17" s="549"/>
      <c r="V17" s="167" t="s">
        <v>1293</v>
      </c>
      <c r="W17" s="177" t="s">
        <v>1294</v>
      </c>
      <c r="X17" s="160" t="s">
        <v>1290</v>
      </c>
      <c r="Z17" s="560"/>
      <c r="AA17" s="551"/>
      <c r="AB17" s="174" t="s">
        <v>1366</v>
      </c>
      <c r="AC17" s="163">
        <v>200</v>
      </c>
      <c r="AD17" s="169" t="s">
        <v>1365</v>
      </c>
    </row>
    <row r="18" spans="2:30" ht="15" customHeight="1" thickBot="1" x14ac:dyDescent="0.3">
      <c r="B18" s="12" t="s">
        <v>248</v>
      </c>
      <c r="C18" s="143">
        <v>0.51</v>
      </c>
      <c r="D18" s="13">
        <v>1</v>
      </c>
      <c r="F18" s="135" t="s">
        <v>775</v>
      </c>
      <c r="G18" s="140">
        <v>0.44</v>
      </c>
      <c r="H18" s="87" t="s">
        <v>17</v>
      </c>
      <c r="I18" s="136">
        <v>5</v>
      </c>
      <c r="K18" s="529"/>
      <c r="L18" s="531" t="s">
        <v>654</v>
      </c>
      <c r="M18" s="533" t="s">
        <v>650</v>
      </c>
      <c r="N18" s="151" t="s">
        <v>651</v>
      </c>
      <c r="O18" s="152">
        <v>1.3</v>
      </c>
      <c r="T18" s="545"/>
      <c r="U18" s="548"/>
      <c r="V18" s="167" t="s">
        <v>1295</v>
      </c>
      <c r="W18" s="177" t="s">
        <v>1296</v>
      </c>
      <c r="X18" s="160" t="s">
        <v>1290</v>
      </c>
      <c r="Z18" s="560"/>
      <c r="AA18" s="551"/>
      <c r="AB18" s="174" t="s">
        <v>1410</v>
      </c>
      <c r="AC18" s="163">
        <v>60</v>
      </c>
      <c r="AD18" s="169" t="s">
        <v>1365</v>
      </c>
    </row>
    <row r="19" spans="2:30" ht="15" customHeight="1" thickBot="1" x14ac:dyDescent="0.3">
      <c r="B19" s="12" t="s">
        <v>249</v>
      </c>
      <c r="C19" s="143">
        <v>0.63</v>
      </c>
      <c r="D19" s="13">
        <v>3</v>
      </c>
      <c r="F19" s="135" t="s">
        <v>274</v>
      </c>
      <c r="G19" s="140">
        <v>0.89</v>
      </c>
      <c r="H19" s="87" t="s">
        <v>17</v>
      </c>
      <c r="I19" s="136">
        <v>5</v>
      </c>
      <c r="K19" s="529"/>
      <c r="L19" s="531"/>
      <c r="M19" s="533"/>
      <c r="N19" s="149" t="s">
        <v>652</v>
      </c>
      <c r="O19" s="150">
        <v>1.1499999999999999</v>
      </c>
      <c r="T19" s="545"/>
      <c r="U19" s="547" t="s">
        <v>1297</v>
      </c>
      <c r="V19" s="166" t="s">
        <v>1288</v>
      </c>
      <c r="W19" s="177" t="s">
        <v>1298</v>
      </c>
      <c r="X19" s="161" t="s">
        <v>1290</v>
      </c>
      <c r="Z19" s="560"/>
      <c r="AA19" s="551"/>
      <c r="AB19" s="174" t="s">
        <v>1367</v>
      </c>
      <c r="AC19" s="163">
        <v>200</v>
      </c>
      <c r="AD19" s="169" t="s">
        <v>1365</v>
      </c>
    </row>
    <row r="20" spans="2:30" ht="15" customHeight="1" thickBot="1" x14ac:dyDescent="0.3">
      <c r="B20" s="12" t="s">
        <v>250</v>
      </c>
      <c r="C20" s="143">
        <v>0.48</v>
      </c>
      <c r="D20" s="13">
        <v>3</v>
      </c>
      <c r="F20" s="135" t="s">
        <v>776</v>
      </c>
      <c r="G20" s="140">
        <v>0.74</v>
      </c>
      <c r="H20" s="87" t="s">
        <v>777</v>
      </c>
      <c r="I20" s="136">
        <v>4</v>
      </c>
      <c r="K20" s="530"/>
      <c r="L20" s="531"/>
      <c r="M20" s="533"/>
      <c r="N20" s="149" t="s">
        <v>653</v>
      </c>
      <c r="O20" s="150">
        <v>4.2</v>
      </c>
      <c r="T20" s="545"/>
      <c r="U20" s="549"/>
      <c r="V20" s="166" t="s">
        <v>1291</v>
      </c>
      <c r="W20" s="177" t="s">
        <v>1299</v>
      </c>
      <c r="X20" s="161" t="s">
        <v>1290</v>
      </c>
      <c r="Z20" s="560"/>
      <c r="AA20" s="551"/>
      <c r="AB20" s="174" t="s">
        <v>1368</v>
      </c>
      <c r="AC20" s="163">
        <v>300</v>
      </c>
      <c r="AD20" s="170" t="s">
        <v>1365</v>
      </c>
    </row>
    <row r="21" spans="2:30" ht="15" customHeight="1" thickBot="1" x14ac:dyDescent="0.3">
      <c r="B21" s="12" t="s">
        <v>251</v>
      </c>
      <c r="C21" s="143">
        <v>0.57999999999999996</v>
      </c>
      <c r="D21" s="13">
        <v>1</v>
      </c>
      <c r="F21" s="135" t="s">
        <v>270</v>
      </c>
      <c r="G21" s="140">
        <v>0.78</v>
      </c>
      <c r="H21" s="87" t="s">
        <v>16</v>
      </c>
      <c r="I21" s="136">
        <v>5</v>
      </c>
      <c r="K21" s="528" t="s">
        <v>655</v>
      </c>
      <c r="L21" s="531" t="s">
        <v>656</v>
      </c>
      <c r="M21" s="532" t="s">
        <v>657</v>
      </c>
      <c r="N21" s="151" t="s">
        <v>651</v>
      </c>
      <c r="O21" s="152">
        <v>1.3</v>
      </c>
      <c r="T21" s="545"/>
      <c r="U21" s="549"/>
      <c r="V21" s="166" t="s">
        <v>1293</v>
      </c>
      <c r="W21" s="177" t="s">
        <v>1300</v>
      </c>
      <c r="X21" s="161" t="s">
        <v>1290</v>
      </c>
      <c r="Z21" s="560"/>
      <c r="AA21" s="551"/>
      <c r="AB21" s="174" t="s">
        <v>1369</v>
      </c>
      <c r="AC21" s="163">
        <v>240</v>
      </c>
      <c r="AD21" s="169" t="s">
        <v>1420</v>
      </c>
    </row>
    <row r="22" spans="2:30" ht="15" customHeight="1" thickBot="1" x14ac:dyDescent="0.3">
      <c r="B22" s="12" t="s">
        <v>252</v>
      </c>
      <c r="C22" s="143">
        <v>0.56999999999999995</v>
      </c>
      <c r="D22" s="13">
        <v>1</v>
      </c>
      <c r="F22" s="135" t="s">
        <v>276</v>
      </c>
      <c r="G22" s="140">
        <v>0.65</v>
      </c>
      <c r="H22" s="87" t="s">
        <v>17</v>
      </c>
      <c r="I22" s="136">
        <v>5</v>
      </c>
      <c r="K22" s="529"/>
      <c r="L22" s="531"/>
      <c r="M22" s="532"/>
      <c r="N22" s="149" t="s">
        <v>652</v>
      </c>
      <c r="O22" s="150">
        <v>1.1499999999999999</v>
      </c>
      <c r="T22" s="545"/>
      <c r="U22" s="548"/>
      <c r="V22" s="167" t="s">
        <v>1295</v>
      </c>
      <c r="W22" s="177">
        <v>290</v>
      </c>
      <c r="X22" s="160" t="s">
        <v>1290</v>
      </c>
      <c r="Z22" s="560"/>
      <c r="AA22" s="551"/>
      <c r="AB22" s="174" t="s">
        <v>1370</v>
      </c>
      <c r="AC22" s="163">
        <v>150</v>
      </c>
      <c r="AD22" s="169" t="s">
        <v>1365</v>
      </c>
    </row>
    <row r="23" spans="2:30" ht="15" customHeight="1" thickBot="1" x14ac:dyDescent="0.3">
      <c r="B23" s="12" t="s">
        <v>253</v>
      </c>
      <c r="C23" s="143">
        <v>0.53</v>
      </c>
      <c r="D23" s="13">
        <v>3</v>
      </c>
      <c r="F23" s="135" t="s">
        <v>778</v>
      </c>
      <c r="G23" s="140">
        <v>0.52</v>
      </c>
      <c r="H23" s="87" t="s">
        <v>777</v>
      </c>
      <c r="I23" s="136">
        <v>5</v>
      </c>
      <c r="K23" s="529"/>
      <c r="L23" s="531"/>
      <c r="M23" s="532"/>
      <c r="N23" s="149" t="s">
        <v>653</v>
      </c>
      <c r="O23" s="150">
        <v>4.2</v>
      </c>
      <c r="T23" s="545"/>
      <c r="U23" s="547" t="s">
        <v>1301</v>
      </c>
      <c r="V23" s="167" t="s">
        <v>1288</v>
      </c>
      <c r="W23" s="177" t="s">
        <v>1302</v>
      </c>
      <c r="X23" s="160" t="s">
        <v>1290</v>
      </c>
      <c r="Z23" s="560"/>
      <c r="AA23" s="551"/>
      <c r="AB23" s="174" t="s">
        <v>1371</v>
      </c>
      <c r="AC23" s="163">
        <v>220</v>
      </c>
      <c r="AD23" s="169" t="s">
        <v>1365</v>
      </c>
    </row>
    <row r="24" spans="2:30" ht="15" customHeight="1" thickBot="1" x14ac:dyDescent="0.3">
      <c r="B24" s="12" t="s">
        <v>254</v>
      </c>
      <c r="C24" s="143">
        <v>0.46</v>
      </c>
      <c r="D24" s="13">
        <v>1</v>
      </c>
      <c r="F24" s="135" t="s">
        <v>279</v>
      </c>
      <c r="G24" s="140">
        <v>0.7</v>
      </c>
      <c r="H24" s="87" t="s">
        <v>17</v>
      </c>
      <c r="I24" s="136">
        <v>5</v>
      </c>
      <c r="K24" s="529"/>
      <c r="L24" s="533" t="s">
        <v>658</v>
      </c>
      <c r="M24" s="532" t="s">
        <v>657</v>
      </c>
      <c r="N24" s="151" t="s">
        <v>651</v>
      </c>
      <c r="O24" s="152">
        <v>1.3</v>
      </c>
      <c r="T24" s="545"/>
      <c r="U24" s="549"/>
      <c r="V24" s="167" t="s">
        <v>1291</v>
      </c>
      <c r="W24" s="177" t="s">
        <v>1303</v>
      </c>
      <c r="X24" s="160" t="s">
        <v>1290</v>
      </c>
      <c r="Z24" s="560"/>
      <c r="AA24" s="552"/>
      <c r="AB24" s="174" t="s">
        <v>1372</v>
      </c>
      <c r="AC24" s="163">
        <v>130</v>
      </c>
      <c r="AD24" s="169" t="s">
        <v>1365</v>
      </c>
    </row>
    <row r="25" spans="2:30" ht="15" customHeight="1" thickBot="1" x14ac:dyDescent="0.3">
      <c r="B25" s="12" t="s">
        <v>255</v>
      </c>
      <c r="C25" s="143">
        <v>0.49</v>
      </c>
      <c r="D25" s="13">
        <v>3</v>
      </c>
      <c r="F25" s="135" t="s">
        <v>282</v>
      </c>
      <c r="G25" s="140">
        <v>0.25</v>
      </c>
      <c r="H25" s="87" t="s">
        <v>17</v>
      </c>
      <c r="I25" s="136">
        <v>5</v>
      </c>
      <c r="K25" s="529"/>
      <c r="L25" s="533"/>
      <c r="M25" s="532"/>
      <c r="N25" s="149" t="s">
        <v>652</v>
      </c>
      <c r="O25" s="150">
        <v>1.1499999999999999</v>
      </c>
      <c r="T25" s="545"/>
      <c r="U25" s="549"/>
      <c r="V25" s="166" t="s">
        <v>1293</v>
      </c>
      <c r="W25" s="177" t="s">
        <v>1304</v>
      </c>
      <c r="X25" s="161" t="s">
        <v>1290</v>
      </c>
      <c r="Z25" s="560"/>
      <c r="AA25" s="550" t="s">
        <v>1373</v>
      </c>
      <c r="AB25" s="174" t="s">
        <v>1364</v>
      </c>
      <c r="AC25" s="163">
        <v>150</v>
      </c>
      <c r="AD25" s="170" t="s">
        <v>1365</v>
      </c>
    </row>
    <row r="26" spans="2:30" ht="15" customHeight="1" thickBot="1" x14ac:dyDescent="0.3">
      <c r="B26" s="12" t="s">
        <v>256</v>
      </c>
      <c r="C26" s="143">
        <v>0.4</v>
      </c>
      <c r="D26" s="13">
        <v>1</v>
      </c>
      <c r="F26" s="135" t="s">
        <v>779</v>
      </c>
      <c r="G26" s="140">
        <v>0.34</v>
      </c>
      <c r="H26" s="87" t="s">
        <v>777</v>
      </c>
      <c r="I26" s="136">
        <v>5</v>
      </c>
      <c r="K26" s="529"/>
      <c r="L26" s="533"/>
      <c r="M26" s="532"/>
      <c r="N26" s="149" t="s">
        <v>653</v>
      </c>
      <c r="O26" s="150">
        <v>3.4</v>
      </c>
      <c r="T26" s="545"/>
      <c r="U26" s="548"/>
      <c r="V26" s="166" t="s">
        <v>1295</v>
      </c>
      <c r="W26" s="177">
        <v>160</v>
      </c>
      <c r="X26" s="161" t="s">
        <v>1290</v>
      </c>
      <c r="Z26" s="560"/>
      <c r="AA26" s="551"/>
      <c r="AB26" s="174" t="s">
        <v>1409</v>
      </c>
      <c r="AC26" s="163">
        <v>80</v>
      </c>
      <c r="AD26" s="169" t="s">
        <v>1365</v>
      </c>
    </row>
    <row r="27" spans="2:30" ht="15" customHeight="1" thickBot="1" x14ac:dyDescent="0.3">
      <c r="B27" s="12" t="s">
        <v>257</v>
      </c>
      <c r="C27" s="143">
        <v>0.4</v>
      </c>
      <c r="D27" s="13">
        <v>2</v>
      </c>
      <c r="F27" s="135" t="s">
        <v>780</v>
      </c>
      <c r="G27" s="140">
        <v>0.73</v>
      </c>
      <c r="H27" s="87" t="s">
        <v>777</v>
      </c>
      <c r="I27" s="136">
        <v>4</v>
      </c>
      <c r="K27" s="529"/>
      <c r="L27" s="531" t="s">
        <v>654</v>
      </c>
      <c r="M27" s="532" t="s">
        <v>657</v>
      </c>
      <c r="N27" s="151" t="s">
        <v>651</v>
      </c>
      <c r="O27" s="152">
        <v>1.4</v>
      </c>
      <c r="T27" s="545"/>
      <c r="U27" s="547" t="s">
        <v>1305</v>
      </c>
      <c r="V27" s="166" t="s">
        <v>1288</v>
      </c>
      <c r="W27" s="177" t="s">
        <v>1306</v>
      </c>
      <c r="X27" s="161" t="s">
        <v>1290</v>
      </c>
      <c r="Z27" s="560"/>
      <c r="AA27" s="551"/>
      <c r="AB27" s="174" t="s">
        <v>1366</v>
      </c>
      <c r="AC27" s="163">
        <v>120</v>
      </c>
      <c r="AD27" s="169" t="s">
        <v>1365</v>
      </c>
    </row>
    <row r="28" spans="2:30" ht="15" customHeight="1" thickBot="1" x14ac:dyDescent="0.3">
      <c r="B28" s="12" t="s">
        <v>258</v>
      </c>
      <c r="C28" s="143">
        <v>0.44</v>
      </c>
      <c r="D28" s="13">
        <v>5</v>
      </c>
      <c r="F28" s="135" t="s">
        <v>284</v>
      </c>
      <c r="G28" s="140">
        <v>0.43</v>
      </c>
      <c r="H28" s="87" t="s">
        <v>17</v>
      </c>
      <c r="I28" s="136">
        <v>5</v>
      </c>
      <c r="K28" s="529"/>
      <c r="L28" s="531"/>
      <c r="M28" s="532"/>
      <c r="N28" s="149" t="s">
        <v>652</v>
      </c>
      <c r="O28" s="150">
        <v>1.1499999999999999</v>
      </c>
      <c r="T28" s="545"/>
      <c r="U28" s="549"/>
      <c r="V28" s="167" t="s">
        <v>1291</v>
      </c>
      <c r="W28" s="177" t="s">
        <v>1307</v>
      </c>
      <c r="X28" s="160" t="s">
        <v>1290</v>
      </c>
      <c r="Z28" s="560"/>
      <c r="AA28" s="551"/>
      <c r="AB28" s="174" t="s">
        <v>1410</v>
      </c>
      <c r="AC28" s="163">
        <v>40</v>
      </c>
      <c r="AD28" s="169" t="s">
        <v>1365</v>
      </c>
    </row>
    <row r="29" spans="2:30" ht="15" customHeight="1" thickBot="1" x14ac:dyDescent="0.3">
      <c r="B29" s="12" t="s">
        <v>259</v>
      </c>
      <c r="C29" s="143">
        <v>0.32</v>
      </c>
      <c r="D29" s="13">
        <v>1</v>
      </c>
      <c r="F29" s="135" t="s">
        <v>272</v>
      </c>
      <c r="G29" s="140">
        <v>0.59</v>
      </c>
      <c r="H29" s="87" t="s">
        <v>777</v>
      </c>
      <c r="I29" s="136">
        <v>4</v>
      </c>
      <c r="K29" s="530"/>
      <c r="L29" s="531"/>
      <c r="M29" s="532"/>
      <c r="N29" s="149" t="s">
        <v>653</v>
      </c>
      <c r="O29" s="150">
        <v>3.2</v>
      </c>
      <c r="T29" s="545"/>
      <c r="U29" s="549"/>
      <c r="V29" s="167" t="s">
        <v>1293</v>
      </c>
      <c r="W29" s="177">
        <v>60</v>
      </c>
      <c r="X29" s="160" t="s">
        <v>1290</v>
      </c>
      <c r="Z29" s="560"/>
      <c r="AA29" s="551"/>
      <c r="AB29" s="174" t="s">
        <v>1367</v>
      </c>
      <c r="AC29" s="163">
        <v>90</v>
      </c>
      <c r="AD29" s="169" t="s">
        <v>1421</v>
      </c>
    </row>
    <row r="30" spans="2:30" ht="15" customHeight="1" thickBot="1" x14ac:dyDescent="0.3">
      <c r="B30" s="12" t="s">
        <v>260</v>
      </c>
      <c r="C30" s="143">
        <v>0.42</v>
      </c>
      <c r="D30" s="13">
        <v>1</v>
      </c>
      <c r="F30" s="135" t="s">
        <v>781</v>
      </c>
      <c r="G30" s="140">
        <v>0.52</v>
      </c>
      <c r="H30" s="87" t="s">
        <v>777</v>
      </c>
      <c r="I30" s="136">
        <v>4</v>
      </c>
      <c r="K30" s="528" t="s">
        <v>23</v>
      </c>
      <c r="L30" s="533" t="s">
        <v>658</v>
      </c>
      <c r="M30" s="533" t="s">
        <v>659</v>
      </c>
      <c r="N30" s="151" t="s">
        <v>651</v>
      </c>
      <c r="O30" s="152">
        <v>1.3</v>
      </c>
      <c r="T30" s="545"/>
      <c r="U30" s="548"/>
      <c r="V30" s="166" t="s">
        <v>1295</v>
      </c>
      <c r="W30" s="177">
        <v>70</v>
      </c>
      <c r="X30" s="161" t="s">
        <v>1290</v>
      </c>
      <c r="Z30" s="560"/>
      <c r="AA30" s="551"/>
      <c r="AB30" s="174" t="s">
        <v>1368</v>
      </c>
      <c r="AC30" s="163">
        <v>270</v>
      </c>
      <c r="AD30" s="169" t="s">
        <v>1365</v>
      </c>
    </row>
    <row r="31" spans="2:30" ht="15" customHeight="1" thickBot="1" x14ac:dyDescent="0.3">
      <c r="B31" s="12" t="s">
        <v>261</v>
      </c>
      <c r="C31" s="143">
        <v>0.35</v>
      </c>
      <c r="D31" s="13">
        <v>1</v>
      </c>
      <c r="F31" s="135" t="s">
        <v>782</v>
      </c>
      <c r="G31" s="140">
        <v>0.45</v>
      </c>
      <c r="H31" s="87" t="s">
        <v>16</v>
      </c>
      <c r="I31" s="136">
        <v>5</v>
      </c>
      <c r="K31" s="529"/>
      <c r="L31" s="533"/>
      <c r="M31" s="533"/>
      <c r="N31" s="149" t="s">
        <v>652</v>
      </c>
      <c r="O31" s="150">
        <v>1.2</v>
      </c>
      <c r="T31" s="545"/>
      <c r="U31" s="547" t="s">
        <v>1308</v>
      </c>
      <c r="V31" s="166" t="s">
        <v>1288</v>
      </c>
      <c r="W31" s="177" t="s">
        <v>1309</v>
      </c>
      <c r="X31" s="161" t="s">
        <v>1290</v>
      </c>
      <c r="Z31" s="560"/>
      <c r="AA31" s="551"/>
      <c r="AB31" s="174" t="s">
        <v>1369</v>
      </c>
      <c r="AC31" s="163">
        <v>120</v>
      </c>
      <c r="AD31" s="169" t="s">
        <v>1365</v>
      </c>
    </row>
    <row r="32" spans="2:30" ht="15" customHeight="1" thickBot="1" x14ac:dyDescent="0.3">
      <c r="B32" s="12" t="s">
        <v>262</v>
      </c>
      <c r="C32" s="143">
        <v>0.49</v>
      </c>
      <c r="D32" s="13">
        <v>1</v>
      </c>
      <c r="F32" s="135" t="s">
        <v>273</v>
      </c>
      <c r="G32" s="140">
        <v>0.38</v>
      </c>
      <c r="H32" s="87" t="s">
        <v>777</v>
      </c>
      <c r="I32" s="136">
        <v>5</v>
      </c>
      <c r="K32" s="529"/>
      <c r="L32" s="533"/>
      <c r="M32" s="533"/>
      <c r="N32" s="149" t="s">
        <v>653</v>
      </c>
      <c r="O32" s="150">
        <v>4</v>
      </c>
      <c r="T32" s="545"/>
      <c r="U32" s="549"/>
      <c r="V32" s="166" t="s">
        <v>1291</v>
      </c>
      <c r="W32" s="177" t="s">
        <v>1310</v>
      </c>
      <c r="X32" s="161" t="s">
        <v>1290</v>
      </c>
      <c r="Z32" s="560"/>
      <c r="AA32" s="551"/>
      <c r="AB32" s="174" t="s">
        <v>1370</v>
      </c>
      <c r="AC32" s="163">
        <v>100</v>
      </c>
      <c r="AD32" s="169" t="s">
        <v>1365</v>
      </c>
    </row>
    <row r="33" spans="2:30" ht="15" customHeight="1" thickBot="1" x14ac:dyDescent="0.3">
      <c r="B33" s="12" t="s">
        <v>263</v>
      </c>
      <c r="C33" s="143">
        <v>0.45</v>
      </c>
      <c r="D33" s="13">
        <v>1</v>
      </c>
      <c r="F33" s="135" t="s">
        <v>287</v>
      </c>
      <c r="G33" s="140">
        <v>0.43</v>
      </c>
      <c r="H33" s="87" t="s">
        <v>17</v>
      </c>
      <c r="I33" s="136">
        <v>5</v>
      </c>
      <c r="K33" s="529"/>
      <c r="L33" s="531" t="s">
        <v>654</v>
      </c>
      <c r="M33" s="533" t="s">
        <v>659</v>
      </c>
      <c r="N33" s="151" t="s">
        <v>651</v>
      </c>
      <c r="O33" s="152">
        <v>3.4</v>
      </c>
      <c r="T33" s="545"/>
      <c r="U33" s="549"/>
      <c r="V33" s="167" t="s">
        <v>1293</v>
      </c>
      <c r="W33" s="177" t="s">
        <v>1311</v>
      </c>
      <c r="X33" s="160" t="s">
        <v>1290</v>
      </c>
      <c r="Z33" s="560"/>
      <c r="AA33" s="551"/>
      <c r="AB33" s="174" t="s">
        <v>1371</v>
      </c>
      <c r="AC33" s="163">
        <v>180</v>
      </c>
      <c r="AD33" s="169" t="s">
        <v>1365</v>
      </c>
    </row>
    <row r="34" spans="2:30" ht="15" customHeight="1" thickBot="1" x14ac:dyDescent="0.3">
      <c r="B34" s="12" t="s">
        <v>264</v>
      </c>
      <c r="C34" s="143">
        <v>0.57999999999999996</v>
      </c>
      <c r="D34" s="13">
        <v>1</v>
      </c>
      <c r="F34" s="135" t="s">
        <v>290</v>
      </c>
      <c r="G34" s="140">
        <v>0.5</v>
      </c>
      <c r="H34" s="87" t="s">
        <v>17</v>
      </c>
      <c r="I34" s="136">
        <v>5</v>
      </c>
      <c r="K34" s="529"/>
      <c r="L34" s="531"/>
      <c r="M34" s="533"/>
      <c r="N34" s="149" t="s">
        <v>652</v>
      </c>
      <c r="O34" s="150">
        <v>2</v>
      </c>
      <c r="T34" s="546"/>
      <c r="U34" s="548"/>
      <c r="V34" s="167" t="s">
        <v>1295</v>
      </c>
      <c r="W34" s="177" t="s">
        <v>1312</v>
      </c>
      <c r="X34" s="160" t="s">
        <v>1290</v>
      </c>
      <c r="Z34" s="561"/>
      <c r="AA34" s="552"/>
      <c r="AB34" s="174" t="s">
        <v>1372</v>
      </c>
      <c r="AC34" s="163">
        <v>100</v>
      </c>
      <c r="AD34" s="169" t="s">
        <v>1365</v>
      </c>
    </row>
    <row r="35" spans="2:30" ht="15" customHeight="1" thickBot="1" x14ac:dyDescent="0.3">
      <c r="B35" s="12" t="s">
        <v>265</v>
      </c>
      <c r="C35" s="143">
        <v>0.45</v>
      </c>
      <c r="D35" s="13">
        <v>1</v>
      </c>
      <c r="F35" s="135" t="s">
        <v>293</v>
      </c>
      <c r="G35" s="140">
        <v>0.69</v>
      </c>
      <c r="H35" s="87" t="s">
        <v>17</v>
      </c>
      <c r="I35" s="136">
        <v>5</v>
      </c>
      <c r="K35" s="534"/>
      <c r="L35" s="539"/>
      <c r="M35" s="540"/>
      <c r="N35" s="125" t="s">
        <v>653</v>
      </c>
      <c r="O35" s="153">
        <v>9</v>
      </c>
      <c r="T35" s="544" t="s">
        <v>1313</v>
      </c>
      <c r="U35" s="547" t="s">
        <v>1314</v>
      </c>
      <c r="V35" s="167" t="s">
        <v>1291</v>
      </c>
      <c r="W35" s="177" t="s">
        <v>1299</v>
      </c>
      <c r="X35" s="160" t="s">
        <v>1290</v>
      </c>
      <c r="Z35" s="559" t="s">
        <v>23</v>
      </c>
      <c r="AA35" s="550" t="s">
        <v>1374</v>
      </c>
      <c r="AB35" s="174" t="s">
        <v>1364</v>
      </c>
      <c r="AC35" s="163">
        <v>70</v>
      </c>
      <c r="AD35" s="169" t="s">
        <v>1365</v>
      </c>
    </row>
    <row r="36" spans="2:30" ht="15" customHeight="1" thickBot="1" x14ac:dyDescent="0.3">
      <c r="B36" s="12" t="s">
        <v>266</v>
      </c>
      <c r="C36" s="143">
        <v>0.31</v>
      </c>
      <c r="D36" s="13">
        <v>4</v>
      </c>
      <c r="F36" s="135" t="s">
        <v>295</v>
      </c>
      <c r="G36" s="140">
        <v>0.49</v>
      </c>
      <c r="H36" s="87" t="s">
        <v>17</v>
      </c>
      <c r="I36" s="136">
        <v>5</v>
      </c>
      <c r="K36" s="514" t="s">
        <v>1276</v>
      </c>
      <c r="L36" s="514"/>
      <c r="M36" s="514"/>
      <c r="N36" s="514"/>
      <c r="O36" s="514"/>
      <c r="T36" s="545"/>
      <c r="U36" s="549"/>
      <c r="V36" s="166" t="s">
        <v>1293</v>
      </c>
      <c r="W36" s="177" t="s">
        <v>1300</v>
      </c>
      <c r="X36" s="161" t="s">
        <v>1290</v>
      </c>
      <c r="Z36" s="560"/>
      <c r="AA36" s="551"/>
      <c r="AB36" s="174" t="s">
        <v>1409</v>
      </c>
      <c r="AC36" s="163">
        <v>30</v>
      </c>
      <c r="AD36" s="169" t="s">
        <v>1365</v>
      </c>
    </row>
    <row r="37" spans="2:30" ht="15" customHeight="1" thickBot="1" x14ac:dyDescent="0.3">
      <c r="B37" s="12" t="s">
        <v>267</v>
      </c>
      <c r="C37" s="143">
        <v>0.43</v>
      </c>
      <c r="D37" s="13">
        <v>1</v>
      </c>
      <c r="F37" s="135" t="s">
        <v>278</v>
      </c>
      <c r="G37" s="140">
        <v>0.33</v>
      </c>
      <c r="H37" s="87" t="s">
        <v>16</v>
      </c>
      <c r="I37" s="136">
        <v>5</v>
      </c>
      <c r="K37" s="515"/>
      <c r="L37" s="515"/>
      <c r="M37" s="515"/>
      <c r="N37" s="515"/>
      <c r="O37" s="515"/>
      <c r="T37" s="545"/>
      <c r="U37" s="548"/>
      <c r="V37" s="166" t="s">
        <v>1295</v>
      </c>
      <c r="W37" s="177">
        <v>290</v>
      </c>
      <c r="X37" s="161" t="s">
        <v>1290</v>
      </c>
      <c r="Z37" s="560"/>
      <c r="AA37" s="551"/>
      <c r="AB37" s="174" t="s">
        <v>1366</v>
      </c>
      <c r="AC37" s="163">
        <v>60</v>
      </c>
      <c r="AD37" s="169" t="s">
        <v>1365</v>
      </c>
    </row>
    <row r="38" spans="2:30" ht="15" customHeight="1" thickBot="1" x14ac:dyDescent="0.3">
      <c r="B38" s="24" t="s">
        <v>268</v>
      </c>
      <c r="C38" s="144">
        <v>0.42</v>
      </c>
      <c r="D38" s="25">
        <v>4</v>
      </c>
      <c r="F38" s="135" t="s">
        <v>783</v>
      </c>
      <c r="G38" s="140">
        <v>0.43</v>
      </c>
      <c r="H38" s="87" t="s">
        <v>777</v>
      </c>
      <c r="I38" s="136">
        <v>1</v>
      </c>
      <c r="K38" s="515"/>
      <c r="L38" s="515"/>
      <c r="M38" s="515"/>
      <c r="N38" s="515"/>
      <c r="O38" s="515"/>
      <c r="T38" s="545"/>
      <c r="U38" s="547" t="s">
        <v>1315</v>
      </c>
      <c r="V38" s="166" t="s">
        <v>1288</v>
      </c>
      <c r="W38" s="177">
        <v>140</v>
      </c>
      <c r="X38" s="160" t="s">
        <v>1355</v>
      </c>
      <c r="Z38" s="560"/>
      <c r="AA38" s="551"/>
      <c r="AB38" s="174" t="s">
        <v>1410</v>
      </c>
      <c r="AC38" s="163">
        <v>20</v>
      </c>
      <c r="AD38" s="169" t="s">
        <v>1365</v>
      </c>
    </row>
    <row r="39" spans="2:30" ht="15" customHeight="1" thickBot="1" x14ac:dyDescent="0.3">
      <c r="F39" s="135" t="s">
        <v>784</v>
      </c>
      <c r="G39" s="140">
        <v>0.6</v>
      </c>
      <c r="H39" s="87" t="s">
        <v>17</v>
      </c>
      <c r="I39" s="136">
        <v>5</v>
      </c>
      <c r="K39" s="515"/>
      <c r="L39" s="515"/>
      <c r="M39" s="515"/>
      <c r="N39" s="515"/>
      <c r="O39" s="515"/>
      <c r="T39" s="545"/>
      <c r="U39" s="549"/>
      <c r="V39" s="167" t="s">
        <v>1291</v>
      </c>
      <c r="W39" s="177" t="s">
        <v>1303</v>
      </c>
      <c r="X39" s="160" t="s">
        <v>1290</v>
      </c>
      <c r="Z39" s="560"/>
      <c r="AA39" s="551"/>
      <c r="AB39" s="174" t="s">
        <v>1367</v>
      </c>
      <c r="AC39" s="163">
        <v>90</v>
      </c>
      <c r="AD39" s="169" t="s">
        <v>1421</v>
      </c>
    </row>
    <row r="40" spans="2:30" ht="15" customHeight="1" thickBot="1" x14ac:dyDescent="0.3">
      <c r="F40" s="135" t="s">
        <v>281</v>
      </c>
      <c r="G40" s="140">
        <v>0.63</v>
      </c>
      <c r="H40" s="87" t="s">
        <v>16</v>
      </c>
      <c r="I40" s="136">
        <v>5</v>
      </c>
      <c r="K40" s="515"/>
      <c r="L40" s="515"/>
      <c r="M40" s="515"/>
      <c r="N40" s="515"/>
      <c r="O40" s="515"/>
      <c r="T40" s="545"/>
      <c r="U40" s="549"/>
      <c r="V40" s="167" t="s">
        <v>1293</v>
      </c>
      <c r="W40" s="177" t="s">
        <v>1304</v>
      </c>
      <c r="X40" s="160" t="s">
        <v>1290</v>
      </c>
      <c r="Z40" s="560"/>
      <c r="AA40" s="551"/>
      <c r="AB40" s="174" t="s">
        <v>1368</v>
      </c>
      <c r="AC40" s="163">
        <v>110</v>
      </c>
      <c r="AD40" s="169" t="s">
        <v>1365</v>
      </c>
    </row>
    <row r="41" spans="2:30" ht="15" customHeight="1" thickBot="1" x14ac:dyDescent="0.3">
      <c r="F41" s="135" t="s">
        <v>275</v>
      </c>
      <c r="G41" s="140">
        <v>0.41</v>
      </c>
      <c r="H41" s="87" t="s">
        <v>777</v>
      </c>
      <c r="I41" s="136">
        <v>4</v>
      </c>
      <c r="K41" s="126"/>
      <c r="L41" s="126"/>
      <c r="M41" s="126"/>
      <c r="N41" s="126"/>
      <c r="O41" s="126"/>
      <c r="T41" s="545"/>
      <c r="U41" s="548"/>
      <c r="V41" s="167" t="s">
        <v>1295</v>
      </c>
      <c r="W41" s="177">
        <v>160</v>
      </c>
      <c r="X41" s="160" t="s">
        <v>1290</v>
      </c>
      <c r="Z41" s="560"/>
      <c r="AA41" s="551"/>
      <c r="AB41" s="174" t="s">
        <v>1369</v>
      </c>
      <c r="AC41" s="163">
        <v>90</v>
      </c>
      <c r="AD41" s="169" t="s">
        <v>1365</v>
      </c>
    </row>
    <row r="42" spans="2:30" ht="15" customHeight="1" thickBot="1" x14ac:dyDescent="0.3">
      <c r="F42" s="135" t="s">
        <v>785</v>
      </c>
      <c r="G42" s="140">
        <v>0.44</v>
      </c>
      <c r="H42" s="87" t="s">
        <v>777</v>
      </c>
      <c r="I42" s="136">
        <v>4</v>
      </c>
      <c r="K42" s="126"/>
      <c r="L42" s="126"/>
      <c r="M42" s="126"/>
      <c r="N42" s="126"/>
      <c r="O42" s="126"/>
      <c r="T42" s="545"/>
      <c r="U42" s="547" t="s">
        <v>1316</v>
      </c>
      <c r="V42" s="166" t="s">
        <v>1288</v>
      </c>
      <c r="W42" s="177" t="s">
        <v>1306</v>
      </c>
      <c r="X42" s="161" t="s">
        <v>1290</v>
      </c>
      <c r="Z42" s="560"/>
      <c r="AA42" s="551"/>
      <c r="AB42" s="174" t="s">
        <v>1370</v>
      </c>
      <c r="AC42" s="163">
        <v>60</v>
      </c>
      <c r="AD42" s="169" t="s">
        <v>1365</v>
      </c>
    </row>
    <row r="43" spans="2:30" ht="15" customHeight="1" thickBot="1" x14ac:dyDescent="0.3">
      <c r="F43" s="135" t="s">
        <v>277</v>
      </c>
      <c r="G43" s="140">
        <v>0.86</v>
      </c>
      <c r="H43" s="87" t="s">
        <v>777</v>
      </c>
      <c r="I43" s="136">
        <v>4</v>
      </c>
      <c r="T43" s="545"/>
      <c r="U43" s="549"/>
      <c r="V43" s="166" t="s">
        <v>1291</v>
      </c>
      <c r="W43" s="177" t="s">
        <v>1307</v>
      </c>
      <c r="X43" s="161" t="s">
        <v>1290</v>
      </c>
      <c r="Z43" s="560"/>
      <c r="AA43" s="551"/>
      <c r="AB43" s="174" t="s">
        <v>1371</v>
      </c>
      <c r="AC43" s="163">
        <v>90</v>
      </c>
      <c r="AD43" s="169" t="s">
        <v>1365</v>
      </c>
    </row>
    <row r="44" spans="2:30" ht="15" customHeight="1" thickBot="1" x14ac:dyDescent="0.3">
      <c r="F44" s="135" t="s">
        <v>786</v>
      </c>
      <c r="G44" s="140">
        <v>0.64</v>
      </c>
      <c r="H44" s="87" t="s">
        <v>777</v>
      </c>
      <c r="I44" s="136">
        <v>4</v>
      </c>
      <c r="T44" s="545"/>
      <c r="U44" s="549"/>
      <c r="V44" s="166" t="s">
        <v>1293</v>
      </c>
      <c r="W44" s="177">
        <v>60</v>
      </c>
      <c r="X44" s="161" t="s">
        <v>1290</v>
      </c>
      <c r="Z44" s="560"/>
      <c r="AA44" s="552"/>
      <c r="AB44" s="174" t="s">
        <v>1372</v>
      </c>
      <c r="AC44" s="163">
        <v>60</v>
      </c>
      <c r="AD44" s="169" t="s">
        <v>1365</v>
      </c>
    </row>
    <row r="45" spans="2:30" ht="15" customHeight="1" thickBot="1" x14ac:dyDescent="0.3">
      <c r="F45" s="135" t="s">
        <v>787</v>
      </c>
      <c r="G45" s="140">
        <v>0.69</v>
      </c>
      <c r="H45" s="87" t="s">
        <v>777</v>
      </c>
      <c r="I45" s="136">
        <v>4</v>
      </c>
      <c r="T45" s="545"/>
      <c r="U45" s="548"/>
      <c r="V45" s="167" t="s">
        <v>1295</v>
      </c>
      <c r="W45" s="177">
        <v>70</v>
      </c>
      <c r="X45" s="160" t="s">
        <v>1290</v>
      </c>
      <c r="Z45" s="560"/>
      <c r="AA45" s="550" t="s">
        <v>1375</v>
      </c>
      <c r="AB45" s="174" t="s">
        <v>1376</v>
      </c>
      <c r="AC45" s="163">
        <v>20</v>
      </c>
      <c r="AD45" s="169" t="s">
        <v>1365</v>
      </c>
    </row>
    <row r="46" spans="2:30" ht="15" customHeight="1" thickBot="1" x14ac:dyDescent="0.3">
      <c r="F46" s="135" t="s">
        <v>280</v>
      </c>
      <c r="G46" s="140">
        <v>0.67</v>
      </c>
      <c r="H46" s="87" t="s">
        <v>777</v>
      </c>
      <c r="I46" s="136">
        <v>5</v>
      </c>
      <c r="T46" s="545"/>
      <c r="U46" s="547" t="s">
        <v>1317</v>
      </c>
      <c r="V46" s="167" t="s">
        <v>1288</v>
      </c>
      <c r="W46" s="177">
        <v>50</v>
      </c>
      <c r="X46" s="160" t="s">
        <v>1356</v>
      </c>
      <c r="Z46" s="560"/>
      <c r="AA46" s="551"/>
      <c r="AB46" s="174" t="s">
        <v>1366</v>
      </c>
      <c r="AC46" s="163">
        <v>20</v>
      </c>
      <c r="AD46" s="169" t="s">
        <v>1365</v>
      </c>
    </row>
    <row r="47" spans="2:30" ht="15" customHeight="1" thickBot="1" x14ac:dyDescent="0.3">
      <c r="F47" s="135" t="s">
        <v>788</v>
      </c>
      <c r="G47" s="140" t="s">
        <v>789</v>
      </c>
      <c r="H47" s="87" t="s">
        <v>777</v>
      </c>
      <c r="I47" s="136">
        <v>1</v>
      </c>
      <c r="T47" s="545"/>
      <c r="U47" s="549"/>
      <c r="V47" s="167" t="s">
        <v>1291</v>
      </c>
      <c r="W47" s="177" t="s">
        <v>1310</v>
      </c>
      <c r="X47" s="160" t="s">
        <v>1290</v>
      </c>
      <c r="Z47" s="560"/>
      <c r="AA47" s="551"/>
      <c r="AB47" s="174" t="s">
        <v>1410</v>
      </c>
      <c r="AC47" s="163">
        <v>15</v>
      </c>
      <c r="AD47" s="169" t="s">
        <v>1365</v>
      </c>
    </row>
    <row r="48" spans="2:30" ht="15" customHeight="1" thickBot="1" x14ac:dyDescent="0.3">
      <c r="F48" s="135" t="s">
        <v>790</v>
      </c>
      <c r="G48" s="140">
        <v>0.92</v>
      </c>
      <c r="H48" s="87" t="s">
        <v>777</v>
      </c>
      <c r="I48" s="136">
        <v>4</v>
      </c>
      <c r="T48" s="545"/>
      <c r="U48" s="549"/>
      <c r="V48" s="166" t="s">
        <v>1293</v>
      </c>
      <c r="W48" s="177" t="s">
        <v>1311</v>
      </c>
      <c r="X48" s="161" t="s">
        <v>1290</v>
      </c>
      <c r="Z48" s="560"/>
      <c r="AA48" s="551"/>
      <c r="AB48" s="174" t="s">
        <v>1367</v>
      </c>
      <c r="AC48" s="163">
        <v>60</v>
      </c>
      <c r="AD48" s="169" t="s">
        <v>1365</v>
      </c>
    </row>
    <row r="49" spans="1:30" ht="15" customHeight="1" thickBot="1" x14ac:dyDescent="0.3">
      <c r="F49" s="135" t="s">
        <v>791</v>
      </c>
      <c r="G49" s="140" t="s">
        <v>792</v>
      </c>
      <c r="H49" s="87" t="s">
        <v>16</v>
      </c>
      <c r="I49" s="136">
        <v>3</v>
      </c>
      <c r="T49" s="546"/>
      <c r="U49" s="548"/>
      <c r="V49" s="166" t="s">
        <v>1295</v>
      </c>
      <c r="W49" s="177" t="s">
        <v>1312</v>
      </c>
      <c r="X49" s="161" t="s">
        <v>1290</v>
      </c>
      <c r="Z49" s="560"/>
      <c r="AA49" s="551"/>
      <c r="AB49" s="174" t="s">
        <v>1368</v>
      </c>
      <c r="AC49" s="163">
        <v>60</v>
      </c>
      <c r="AD49" s="169" t="s">
        <v>1365</v>
      </c>
    </row>
    <row r="50" spans="1:30" ht="15" customHeight="1" thickBot="1" x14ac:dyDescent="0.3">
      <c r="F50" s="135" t="s">
        <v>283</v>
      </c>
      <c r="G50" s="140">
        <v>0.63</v>
      </c>
      <c r="H50" s="87" t="s">
        <v>16</v>
      </c>
      <c r="I50" s="136">
        <v>5</v>
      </c>
      <c r="T50" s="544" t="s">
        <v>1318</v>
      </c>
      <c r="U50" s="547" t="s">
        <v>1319</v>
      </c>
      <c r="V50" s="166" t="s">
        <v>1320</v>
      </c>
      <c r="W50" s="177">
        <v>120</v>
      </c>
      <c r="X50" s="161" t="s">
        <v>4</v>
      </c>
      <c r="Z50" s="560"/>
      <c r="AA50" s="551"/>
      <c r="AB50" s="174" t="s">
        <v>1369</v>
      </c>
      <c r="AC50" s="163">
        <v>50</v>
      </c>
      <c r="AD50" s="169" t="s">
        <v>1365</v>
      </c>
    </row>
    <row r="51" spans="1:30" ht="15" customHeight="1" thickBot="1" x14ac:dyDescent="0.3">
      <c r="F51" s="135" t="s">
        <v>301</v>
      </c>
      <c r="G51" s="140">
        <v>0.46</v>
      </c>
      <c r="H51" s="87" t="s">
        <v>17</v>
      </c>
      <c r="I51" s="136">
        <v>5</v>
      </c>
      <c r="T51" s="545"/>
      <c r="U51" s="549"/>
      <c r="V51" s="166" t="s">
        <v>1321</v>
      </c>
      <c r="W51" s="177" t="s">
        <v>1322</v>
      </c>
      <c r="X51" s="160" t="s">
        <v>1357</v>
      </c>
      <c r="Z51" s="560"/>
      <c r="AA51" s="551"/>
      <c r="AB51" s="174" t="s">
        <v>1370</v>
      </c>
      <c r="AC51" s="163">
        <v>30</v>
      </c>
      <c r="AD51" s="169" t="s">
        <v>1365</v>
      </c>
    </row>
    <row r="52" spans="1:30" ht="15" customHeight="1" thickBot="1" x14ac:dyDescent="0.3">
      <c r="F52" s="135" t="s">
        <v>793</v>
      </c>
      <c r="G52" s="140">
        <v>0.54</v>
      </c>
      <c r="H52" s="87" t="s">
        <v>17</v>
      </c>
      <c r="I52" s="136">
        <v>5</v>
      </c>
      <c r="T52" s="545"/>
      <c r="U52" s="549"/>
      <c r="V52" s="166" t="s">
        <v>1323</v>
      </c>
      <c r="W52" s="177" t="s">
        <v>1324</v>
      </c>
      <c r="X52" s="160" t="s">
        <v>1358</v>
      </c>
      <c r="Z52" s="560"/>
      <c r="AA52" s="551"/>
      <c r="AB52" s="174" t="s">
        <v>1371</v>
      </c>
      <c r="AC52" s="163">
        <v>40</v>
      </c>
      <c r="AD52" s="169" t="s">
        <v>1365</v>
      </c>
    </row>
    <row r="53" spans="1:30" ht="15" customHeight="1" thickBot="1" x14ac:dyDescent="0.3">
      <c r="F53" s="135" t="s">
        <v>286</v>
      </c>
      <c r="G53" s="140">
        <v>0.28999999999999998</v>
      </c>
      <c r="H53" s="87" t="s">
        <v>16</v>
      </c>
      <c r="I53" s="136">
        <v>5</v>
      </c>
      <c r="T53" s="545"/>
      <c r="U53" s="548"/>
      <c r="V53" s="166" t="s">
        <v>1325</v>
      </c>
      <c r="W53" s="177" t="s">
        <v>1326</v>
      </c>
      <c r="X53" s="160" t="s">
        <v>1359</v>
      </c>
      <c r="Z53" s="560"/>
      <c r="AA53" s="552"/>
      <c r="AB53" s="174" t="s">
        <v>1372</v>
      </c>
      <c r="AC53" s="163">
        <v>30</v>
      </c>
      <c r="AD53" s="169" t="s">
        <v>1365</v>
      </c>
    </row>
    <row r="54" spans="1:30" ht="15" customHeight="1" thickBot="1" x14ac:dyDescent="0.3">
      <c r="A54" s="3"/>
      <c r="F54" s="135" t="s">
        <v>306</v>
      </c>
      <c r="G54" s="140" t="s">
        <v>794</v>
      </c>
      <c r="H54" s="87" t="s">
        <v>17</v>
      </c>
      <c r="I54" s="136">
        <v>5</v>
      </c>
      <c r="T54" s="545"/>
      <c r="U54" s="547" t="s">
        <v>1327</v>
      </c>
      <c r="V54" s="167" t="s">
        <v>1328</v>
      </c>
      <c r="W54" s="177">
        <v>20</v>
      </c>
      <c r="X54" s="160" t="s">
        <v>1290</v>
      </c>
      <c r="Z54" s="561"/>
      <c r="AA54" s="550" t="s">
        <v>1377</v>
      </c>
      <c r="AB54" s="174" t="s">
        <v>1364</v>
      </c>
      <c r="AC54" s="163" t="s">
        <v>1378</v>
      </c>
      <c r="AD54" s="169" t="s">
        <v>1365</v>
      </c>
    </row>
    <row r="55" spans="1:30" ht="15" customHeight="1" thickBot="1" x14ac:dyDescent="0.3">
      <c r="A55" s="3"/>
      <c r="F55" s="135" t="s">
        <v>289</v>
      </c>
      <c r="G55" s="140">
        <v>0.74</v>
      </c>
      <c r="H55" s="87" t="s">
        <v>16</v>
      </c>
      <c r="I55" s="136">
        <v>5</v>
      </c>
      <c r="T55" s="545"/>
      <c r="U55" s="549"/>
      <c r="V55" s="167" t="s">
        <v>1329</v>
      </c>
      <c r="W55" s="177" t="s">
        <v>1330</v>
      </c>
      <c r="X55" s="160" t="s">
        <v>1290</v>
      </c>
      <c r="Z55" s="559"/>
      <c r="AA55" s="551"/>
      <c r="AB55" s="174" t="s">
        <v>1409</v>
      </c>
      <c r="AC55" s="163" t="s">
        <v>1379</v>
      </c>
      <c r="AD55" s="169" t="s">
        <v>1365</v>
      </c>
    </row>
    <row r="56" spans="1:30" ht="15" customHeight="1" thickBot="1" x14ac:dyDescent="0.3">
      <c r="A56" s="3"/>
      <c r="F56" s="135" t="s">
        <v>308</v>
      </c>
      <c r="G56" s="140" t="s">
        <v>795</v>
      </c>
      <c r="H56" s="87" t="s">
        <v>17</v>
      </c>
      <c r="I56" s="136">
        <v>5</v>
      </c>
      <c r="T56" s="545"/>
      <c r="U56" s="549"/>
      <c r="V56" s="167" t="s">
        <v>1331</v>
      </c>
      <c r="W56" s="177" t="s">
        <v>1332</v>
      </c>
      <c r="X56" s="161" t="s">
        <v>1290</v>
      </c>
      <c r="Z56" s="560"/>
      <c r="AA56" s="551"/>
      <c r="AB56" s="174" t="s">
        <v>1366</v>
      </c>
      <c r="AC56" s="163" t="s">
        <v>1380</v>
      </c>
      <c r="AD56" s="169" t="s">
        <v>1365</v>
      </c>
    </row>
    <row r="57" spans="1:30" ht="15" customHeight="1" thickBot="1" x14ac:dyDescent="0.3">
      <c r="A57" s="3"/>
      <c r="F57" s="135" t="s">
        <v>292</v>
      </c>
      <c r="G57" s="140">
        <v>0.5</v>
      </c>
      <c r="H57" s="87" t="s">
        <v>16</v>
      </c>
      <c r="I57" s="136">
        <v>5</v>
      </c>
      <c r="T57" s="545"/>
      <c r="U57" s="548"/>
      <c r="V57" s="167" t="s">
        <v>1333</v>
      </c>
      <c r="W57" s="177" t="s">
        <v>1334</v>
      </c>
      <c r="X57" s="161" t="s">
        <v>1290</v>
      </c>
      <c r="Z57" s="560"/>
      <c r="AA57" s="551"/>
      <c r="AB57" s="174" t="s">
        <v>1410</v>
      </c>
      <c r="AC57" s="163" t="s">
        <v>1419</v>
      </c>
      <c r="AD57" s="169" t="s">
        <v>1365</v>
      </c>
    </row>
    <row r="58" spans="1:30" ht="15" customHeight="1" thickBot="1" x14ac:dyDescent="0.3">
      <c r="A58" s="3"/>
      <c r="F58" s="135" t="s">
        <v>294</v>
      </c>
      <c r="G58" s="140">
        <v>0.78</v>
      </c>
      <c r="H58" s="87" t="s">
        <v>16</v>
      </c>
      <c r="I58" s="136">
        <v>5</v>
      </c>
      <c r="T58" s="545"/>
      <c r="U58" s="547" t="s">
        <v>1335</v>
      </c>
      <c r="V58" s="166" t="s">
        <v>1328</v>
      </c>
      <c r="W58" s="177" t="s">
        <v>1336</v>
      </c>
      <c r="X58" s="161" t="s">
        <v>1290</v>
      </c>
      <c r="Z58" s="560"/>
      <c r="AA58" s="551"/>
      <c r="AB58" s="174" t="s">
        <v>1367</v>
      </c>
      <c r="AC58" s="163" t="s">
        <v>1381</v>
      </c>
      <c r="AD58" s="169" t="s">
        <v>1365</v>
      </c>
    </row>
    <row r="59" spans="1:30" ht="15" customHeight="1" thickBot="1" x14ac:dyDescent="0.3">
      <c r="A59" s="3"/>
      <c r="F59" s="135" t="s">
        <v>297</v>
      </c>
      <c r="G59" s="140">
        <v>0.32</v>
      </c>
      <c r="H59" s="87" t="s">
        <v>16</v>
      </c>
      <c r="I59" s="136">
        <v>5</v>
      </c>
      <c r="T59" s="545"/>
      <c r="U59" s="549"/>
      <c r="V59" s="166" t="s">
        <v>1329</v>
      </c>
      <c r="W59" s="177" t="s">
        <v>1337</v>
      </c>
      <c r="X59" s="161" t="s">
        <v>1290</v>
      </c>
      <c r="Z59" s="560"/>
      <c r="AA59" s="551"/>
      <c r="AB59" s="174" t="s">
        <v>1368</v>
      </c>
      <c r="AC59" s="163" t="s">
        <v>1382</v>
      </c>
      <c r="AD59" s="169" t="s">
        <v>1365</v>
      </c>
    </row>
    <row r="60" spans="1:30" ht="15" customHeight="1" thickBot="1" x14ac:dyDescent="0.3">
      <c r="A60" s="3"/>
      <c r="F60" s="135" t="s">
        <v>285</v>
      </c>
      <c r="G60" s="140">
        <v>0.38</v>
      </c>
      <c r="H60" s="87" t="s">
        <v>777</v>
      </c>
      <c r="I60" s="136">
        <v>5</v>
      </c>
      <c r="T60" s="545"/>
      <c r="U60" s="549"/>
      <c r="V60" s="167" t="s">
        <v>1331</v>
      </c>
      <c r="W60" s="177" t="s">
        <v>1338</v>
      </c>
      <c r="X60" s="161" t="s">
        <v>1290</v>
      </c>
      <c r="Z60" s="560"/>
      <c r="AA60" s="551"/>
      <c r="AB60" s="174" t="s">
        <v>1369</v>
      </c>
      <c r="AC60" s="163" t="s">
        <v>1383</v>
      </c>
      <c r="AD60" s="169" t="s">
        <v>1365</v>
      </c>
    </row>
    <row r="61" spans="1:30" ht="15" customHeight="1" thickBot="1" x14ac:dyDescent="0.3">
      <c r="A61" s="3"/>
      <c r="F61" s="135" t="s">
        <v>796</v>
      </c>
      <c r="G61" s="140">
        <v>0.38</v>
      </c>
      <c r="H61" s="87" t="s">
        <v>16</v>
      </c>
      <c r="I61" s="136">
        <v>5</v>
      </c>
      <c r="T61" s="546"/>
      <c r="U61" s="548"/>
      <c r="V61" s="167" t="s">
        <v>1333</v>
      </c>
      <c r="W61" s="177" t="s">
        <v>1339</v>
      </c>
      <c r="X61" s="161" t="s">
        <v>1290</v>
      </c>
      <c r="Z61" s="560"/>
      <c r="AA61" s="551"/>
      <c r="AB61" s="174" t="s">
        <v>1370</v>
      </c>
      <c r="AC61" s="163" t="s">
        <v>1384</v>
      </c>
      <c r="AD61" s="169" t="s">
        <v>1365</v>
      </c>
    </row>
    <row r="62" spans="1:30" ht="15" customHeight="1" thickBot="1" x14ac:dyDescent="0.3">
      <c r="A62" s="3"/>
      <c r="F62" s="135" t="s">
        <v>311</v>
      </c>
      <c r="G62" s="140">
        <v>0.59</v>
      </c>
      <c r="H62" s="87" t="s">
        <v>17</v>
      </c>
      <c r="I62" s="136">
        <v>5</v>
      </c>
      <c r="T62" s="544" t="s">
        <v>1340</v>
      </c>
      <c r="U62" s="159" t="s">
        <v>1341</v>
      </c>
      <c r="V62" s="166" t="s">
        <v>1342</v>
      </c>
      <c r="W62" s="177" t="s">
        <v>1343</v>
      </c>
      <c r="X62" s="161" t="s">
        <v>1360</v>
      </c>
      <c r="Z62" s="560"/>
      <c r="AA62" s="551"/>
      <c r="AB62" s="174" t="s">
        <v>1371</v>
      </c>
      <c r="AC62" s="163" t="s">
        <v>1385</v>
      </c>
      <c r="AD62" s="169" t="s">
        <v>1365</v>
      </c>
    </row>
    <row r="63" spans="1:30" ht="15" customHeight="1" thickBot="1" x14ac:dyDescent="0.3">
      <c r="A63" s="3"/>
      <c r="F63" s="135" t="s">
        <v>300</v>
      </c>
      <c r="G63" s="140">
        <v>0.5</v>
      </c>
      <c r="H63" s="87" t="s">
        <v>16</v>
      </c>
      <c r="I63" s="136">
        <v>5</v>
      </c>
      <c r="T63" s="545"/>
      <c r="U63" s="547" t="s">
        <v>1344</v>
      </c>
      <c r="V63" s="167" t="s">
        <v>1345</v>
      </c>
      <c r="W63" s="177" t="s">
        <v>1346</v>
      </c>
      <c r="X63" s="161" t="s">
        <v>1290</v>
      </c>
      <c r="Z63" s="560"/>
      <c r="AA63" s="552"/>
      <c r="AB63" s="174" t="s">
        <v>1372</v>
      </c>
      <c r="AC63" s="163" t="s">
        <v>1386</v>
      </c>
      <c r="AD63" s="169" t="s">
        <v>1365</v>
      </c>
    </row>
    <row r="64" spans="1:30" ht="15" customHeight="1" thickBot="1" x14ac:dyDescent="0.3">
      <c r="A64" s="3"/>
      <c r="F64" s="135" t="s">
        <v>797</v>
      </c>
      <c r="G64" s="140">
        <v>0.28000000000000003</v>
      </c>
      <c r="H64" s="87" t="s">
        <v>777</v>
      </c>
      <c r="I64" s="136">
        <v>1</v>
      </c>
      <c r="T64" s="545"/>
      <c r="U64" s="548"/>
      <c r="V64" s="167" t="s">
        <v>1347</v>
      </c>
      <c r="W64" s="177" t="s">
        <v>1348</v>
      </c>
      <c r="X64" s="161" t="s">
        <v>1290</v>
      </c>
      <c r="Z64" s="562" t="s">
        <v>1387</v>
      </c>
      <c r="AA64" s="550" t="s">
        <v>1388</v>
      </c>
      <c r="AB64" s="174" t="s">
        <v>1367</v>
      </c>
      <c r="AC64" s="163">
        <v>140</v>
      </c>
      <c r="AD64" s="169" t="s">
        <v>1365</v>
      </c>
    </row>
    <row r="65" spans="1:30" ht="15" customHeight="1" thickBot="1" x14ac:dyDescent="0.3">
      <c r="A65" s="3"/>
      <c r="F65" s="135" t="s">
        <v>288</v>
      </c>
      <c r="G65" s="140">
        <v>0.36</v>
      </c>
      <c r="H65" s="87" t="s">
        <v>777</v>
      </c>
      <c r="I65" s="136">
        <v>5</v>
      </c>
      <c r="T65" s="545"/>
      <c r="U65" s="547" t="s">
        <v>1349</v>
      </c>
      <c r="V65" s="167" t="s">
        <v>1345</v>
      </c>
      <c r="W65" s="177" t="s">
        <v>1350</v>
      </c>
      <c r="X65" s="161" t="s">
        <v>1290</v>
      </c>
      <c r="Z65" s="560"/>
      <c r="AA65" s="551"/>
      <c r="AB65" s="174" t="s">
        <v>1368</v>
      </c>
      <c r="AC65" s="163">
        <v>270</v>
      </c>
      <c r="AD65" s="169" t="s">
        <v>1365</v>
      </c>
    </row>
    <row r="66" spans="1:30" ht="15" customHeight="1" thickBot="1" x14ac:dyDescent="0.3">
      <c r="A66" s="3"/>
      <c r="F66" s="135" t="s">
        <v>798</v>
      </c>
      <c r="G66" s="140">
        <v>0.2</v>
      </c>
      <c r="H66" s="87" t="s">
        <v>777</v>
      </c>
      <c r="I66" s="136">
        <v>4</v>
      </c>
      <c r="T66" s="546"/>
      <c r="U66" s="548"/>
      <c r="V66" s="168" t="s">
        <v>1347</v>
      </c>
      <c r="W66" s="177" t="s">
        <v>1351</v>
      </c>
      <c r="X66" s="162" t="s">
        <v>1290</v>
      </c>
      <c r="Z66" s="560"/>
      <c r="AA66" s="551"/>
      <c r="AB66" s="174" t="s">
        <v>1369</v>
      </c>
      <c r="AC66" s="163">
        <v>120</v>
      </c>
      <c r="AD66" s="169" t="s">
        <v>1365</v>
      </c>
    </row>
    <row r="67" spans="1:30" ht="15" customHeight="1" x14ac:dyDescent="0.25">
      <c r="A67" s="3"/>
      <c r="F67" s="135" t="s">
        <v>314</v>
      </c>
      <c r="G67" s="140">
        <v>0.52</v>
      </c>
      <c r="H67" s="87" t="s">
        <v>17</v>
      </c>
      <c r="I67" s="136">
        <v>5</v>
      </c>
      <c r="T67" s="158"/>
      <c r="U67" s="158"/>
      <c r="V67" s="158"/>
      <c r="W67" s="158"/>
      <c r="X67" s="158"/>
      <c r="Z67" s="560"/>
      <c r="AA67" s="551"/>
      <c r="AB67" s="174" t="s">
        <v>1370</v>
      </c>
      <c r="AC67" s="163">
        <v>100</v>
      </c>
      <c r="AD67" s="169" t="s">
        <v>1365</v>
      </c>
    </row>
    <row r="68" spans="1:30" ht="15" customHeight="1" x14ac:dyDescent="0.25">
      <c r="A68" s="3"/>
      <c r="F68" s="135" t="s">
        <v>799</v>
      </c>
      <c r="G68" s="140">
        <v>0.7</v>
      </c>
      <c r="H68" s="87" t="s">
        <v>777</v>
      </c>
      <c r="I68" s="136">
        <v>1</v>
      </c>
      <c r="T68" s="158"/>
      <c r="U68" s="158"/>
      <c r="V68" s="158"/>
      <c r="W68" s="158"/>
      <c r="X68" s="158"/>
      <c r="Z68" s="560"/>
      <c r="AA68" s="551"/>
      <c r="AB68" s="174" t="s">
        <v>1371</v>
      </c>
      <c r="AC68" s="163">
        <v>180</v>
      </c>
      <c r="AD68" s="169" t="s">
        <v>1365</v>
      </c>
    </row>
    <row r="69" spans="1:30" ht="15" customHeight="1" x14ac:dyDescent="0.25">
      <c r="A69" s="3"/>
      <c r="F69" s="135" t="s">
        <v>800</v>
      </c>
      <c r="G69" s="140">
        <v>0.76</v>
      </c>
      <c r="H69" s="87" t="s">
        <v>777</v>
      </c>
      <c r="I69" s="136">
        <v>4</v>
      </c>
      <c r="T69" s="158"/>
      <c r="U69" s="158"/>
      <c r="V69" s="158"/>
      <c r="W69" s="158"/>
      <c r="X69" s="158"/>
      <c r="Z69" s="560"/>
      <c r="AA69" s="552"/>
      <c r="AB69" s="174" t="s">
        <v>1372</v>
      </c>
      <c r="AC69" s="163">
        <v>100</v>
      </c>
      <c r="AD69" s="169" t="s">
        <v>1365</v>
      </c>
    </row>
    <row r="70" spans="1:30" ht="15" customHeight="1" x14ac:dyDescent="0.25">
      <c r="A70" s="3"/>
      <c r="F70" s="135" t="s">
        <v>317</v>
      </c>
      <c r="G70" s="140">
        <v>0.43</v>
      </c>
      <c r="H70" s="87" t="s">
        <v>17</v>
      </c>
      <c r="I70" s="136">
        <v>5</v>
      </c>
      <c r="T70" s="158"/>
      <c r="U70" s="158"/>
      <c r="V70" s="158"/>
      <c r="W70" s="158"/>
      <c r="X70" s="158"/>
      <c r="Z70" s="560"/>
      <c r="AA70" s="550" t="s">
        <v>1389</v>
      </c>
      <c r="AB70" s="174" t="s">
        <v>1364</v>
      </c>
      <c r="AC70" s="163">
        <v>70</v>
      </c>
      <c r="AD70" s="169" t="s">
        <v>1365</v>
      </c>
    </row>
    <row r="71" spans="1:30" ht="15" customHeight="1" x14ac:dyDescent="0.25">
      <c r="A71" s="3"/>
      <c r="F71" s="135" t="s">
        <v>801</v>
      </c>
      <c r="G71" s="140">
        <v>0.62</v>
      </c>
      <c r="H71" s="87" t="s">
        <v>777</v>
      </c>
      <c r="I71" s="136">
        <v>1</v>
      </c>
      <c r="T71" s="158"/>
      <c r="U71" s="158"/>
      <c r="V71" s="158"/>
      <c r="W71" s="158"/>
      <c r="X71" s="158"/>
      <c r="Z71" s="560"/>
      <c r="AA71" s="551"/>
      <c r="AB71" s="174" t="s">
        <v>1409</v>
      </c>
      <c r="AC71" s="163">
        <v>30</v>
      </c>
      <c r="AD71" s="169" t="s">
        <v>1365</v>
      </c>
    </row>
    <row r="72" spans="1:30" ht="15" customHeight="1" x14ac:dyDescent="0.25">
      <c r="A72" s="3"/>
      <c r="F72" s="135" t="s">
        <v>291</v>
      </c>
      <c r="G72" s="140">
        <v>0.7</v>
      </c>
      <c r="H72" s="87" t="s">
        <v>777</v>
      </c>
      <c r="I72" s="136">
        <v>5</v>
      </c>
      <c r="T72" s="158"/>
      <c r="U72" s="158"/>
      <c r="V72" s="158"/>
      <c r="W72" s="158"/>
      <c r="X72" s="158"/>
      <c r="Z72" s="560"/>
      <c r="AA72" s="551"/>
      <c r="AB72" s="175" t="s">
        <v>1366</v>
      </c>
      <c r="AC72" s="163">
        <v>60</v>
      </c>
      <c r="AD72" s="172" t="s">
        <v>1365</v>
      </c>
    </row>
    <row r="73" spans="1:30" ht="15" customHeight="1" x14ac:dyDescent="0.25">
      <c r="A73" s="3"/>
      <c r="F73" s="135" t="s">
        <v>802</v>
      </c>
      <c r="G73" s="140">
        <v>0.57999999999999996</v>
      </c>
      <c r="H73" s="87" t="s">
        <v>17</v>
      </c>
      <c r="I73" s="136">
        <v>5</v>
      </c>
      <c r="T73" s="158"/>
      <c r="U73" s="158"/>
      <c r="V73" s="158"/>
      <c r="W73" s="158"/>
      <c r="X73" s="158"/>
      <c r="Z73" s="560"/>
      <c r="AA73" s="551"/>
      <c r="AB73" s="174" t="s">
        <v>1410</v>
      </c>
      <c r="AC73" s="163">
        <v>20</v>
      </c>
      <c r="AD73" s="169" t="s">
        <v>1365</v>
      </c>
    </row>
    <row r="74" spans="1:30" ht="15" customHeight="1" x14ac:dyDescent="0.25">
      <c r="A74" s="3"/>
      <c r="F74" s="135" t="s">
        <v>803</v>
      </c>
      <c r="G74" s="140">
        <v>0.76</v>
      </c>
      <c r="H74" s="87" t="s">
        <v>777</v>
      </c>
      <c r="I74" s="136">
        <v>4</v>
      </c>
      <c r="T74" s="158"/>
      <c r="U74" s="158"/>
      <c r="V74" s="158"/>
      <c r="W74" s="158"/>
      <c r="X74" s="158"/>
      <c r="Z74" s="560"/>
      <c r="AA74" s="551"/>
      <c r="AB74" s="174" t="s">
        <v>1367</v>
      </c>
      <c r="AC74" s="163">
        <v>110</v>
      </c>
      <c r="AD74" s="169" t="s">
        <v>1365</v>
      </c>
    </row>
    <row r="75" spans="1:30" ht="15" customHeight="1" x14ac:dyDescent="0.25">
      <c r="A75" s="3"/>
      <c r="F75" s="135" t="s">
        <v>804</v>
      </c>
      <c r="G75" s="140">
        <v>0.67</v>
      </c>
      <c r="H75" s="87" t="s">
        <v>777</v>
      </c>
      <c r="I75" s="136">
        <v>1</v>
      </c>
      <c r="T75" s="158"/>
      <c r="U75" s="158"/>
      <c r="V75" s="158"/>
      <c r="W75" s="158"/>
      <c r="X75" s="158"/>
      <c r="Z75" s="560"/>
      <c r="AA75" s="551"/>
      <c r="AB75" s="174" t="s">
        <v>1368</v>
      </c>
      <c r="AC75" s="163">
        <v>110</v>
      </c>
      <c r="AD75" s="169" t="s">
        <v>1365</v>
      </c>
    </row>
    <row r="76" spans="1:30" ht="15" customHeight="1" x14ac:dyDescent="0.25">
      <c r="A76" s="3"/>
      <c r="F76" s="135" t="s">
        <v>805</v>
      </c>
      <c r="G76" s="140">
        <v>0.86</v>
      </c>
      <c r="H76" s="87" t="s">
        <v>777</v>
      </c>
      <c r="I76" s="136">
        <v>4</v>
      </c>
      <c r="T76" s="158"/>
      <c r="U76" s="158"/>
      <c r="V76" s="158"/>
      <c r="W76" s="158"/>
      <c r="X76" s="158"/>
      <c r="Z76" s="560"/>
      <c r="AA76" s="551"/>
      <c r="AB76" s="174" t="s">
        <v>1369</v>
      </c>
      <c r="AC76" s="163">
        <v>90</v>
      </c>
      <c r="AD76" s="169" t="s">
        <v>1365</v>
      </c>
    </row>
    <row r="77" spans="1:30" ht="15" customHeight="1" x14ac:dyDescent="0.25">
      <c r="A77" s="3"/>
      <c r="F77" s="135" t="s">
        <v>806</v>
      </c>
      <c r="G77" s="140">
        <v>0.73</v>
      </c>
      <c r="H77" s="87" t="s">
        <v>777</v>
      </c>
      <c r="I77" s="136">
        <v>4</v>
      </c>
      <c r="T77" s="158"/>
      <c r="U77" s="158"/>
      <c r="V77" s="158"/>
      <c r="W77" s="158"/>
      <c r="X77" s="158"/>
      <c r="Z77" s="560"/>
      <c r="AA77" s="551"/>
      <c r="AB77" s="174" t="s">
        <v>1370</v>
      </c>
      <c r="AC77" s="163">
        <v>60</v>
      </c>
      <c r="AD77" s="169" t="s">
        <v>1365</v>
      </c>
    </row>
    <row r="78" spans="1:30" ht="15" customHeight="1" x14ac:dyDescent="0.25">
      <c r="A78" s="3"/>
      <c r="F78" s="135" t="s">
        <v>807</v>
      </c>
      <c r="G78" s="140">
        <v>0.75</v>
      </c>
      <c r="H78" s="87" t="s">
        <v>777</v>
      </c>
      <c r="I78" s="136">
        <v>4</v>
      </c>
      <c r="T78" s="158"/>
      <c r="U78" s="158"/>
      <c r="V78" s="158"/>
      <c r="W78" s="158"/>
      <c r="X78" s="158"/>
      <c r="Z78" s="560"/>
      <c r="AA78" s="551"/>
      <c r="AB78" s="174" t="s">
        <v>1371</v>
      </c>
      <c r="AC78" s="163">
        <v>90</v>
      </c>
      <c r="AD78" s="169" t="s">
        <v>1365</v>
      </c>
    </row>
    <row r="79" spans="1:30" ht="15" customHeight="1" x14ac:dyDescent="0.25">
      <c r="A79" s="3"/>
      <c r="F79" s="135" t="s">
        <v>296</v>
      </c>
      <c r="G79" s="140">
        <v>0.73</v>
      </c>
      <c r="H79" s="87" t="s">
        <v>777</v>
      </c>
      <c r="I79" s="136">
        <v>5</v>
      </c>
      <c r="T79" s="158"/>
      <c r="U79" s="158"/>
      <c r="V79" s="158"/>
      <c r="W79" s="158"/>
      <c r="X79" s="158"/>
      <c r="Z79" s="560"/>
      <c r="AA79" s="552"/>
      <c r="AB79" s="174" t="s">
        <v>1372</v>
      </c>
      <c r="AC79" s="163">
        <v>60</v>
      </c>
      <c r="AD79" s="169" t="s">
        <v>1365</v>
      </c>
    </row>
    <row r="80" spans="1:30" ht="15" customHeight="1" x14ac:dyDescent="0.25">
      <c r="A80" s="3"/>
      <c r="F80" s="135" t="s">
        <v>808</v>
      </c>
      <c r="G80" s="140">
        <v>0.71</v>
      </c>
      <c r="H80" s="87" t="s">
        <v>777</v>
      </c>
      <c r="I80" s="136">
        <v>4</v>
      </c>
      <c r="T80" s="158"/>
      <c r="U80" s="158"/>
      <c r="V80" s="158"/>
      <c r="W80" s="158"/>
      <c r="X80" s="158"/>
      <c r="Z80" s="560"/>
      <c r="AA80" s="550" t="s">
        <v>1390</v>
      </c>
      <c r="AB80" s="174" t="s">
        <v>1376</v>
      </c>
      <c r="AC80" s="163">
        <v>20</v>
      </c>
      <c r="AD80" s="169" t="s">
        <v>1365</v>
      </c>
    </row>
    <row r="81" spans="1:30" ht="15" customHeight="1" x14ac:dyDescent="0.25">
      <c r="A81" s="3"/>
      <c r="F81" s="135" t="s">
        <v>809</v>
      </c>
      <c r="G81" s="140">
        <v>1.21</v>
      </c>
      <c r="H81" s="87" t="s">
        <v>777</v>
      </c>
      <c r="I81" s="136">
        <v>4</v>
      </c>
      <c r="T81" s="158"/>
      <c r="U81" s="158"/>
      <c r="V81" s="158"/>
      <c r="W81" s="158"/>
      <c r="X81" s="158"/>
      <c r="Z81" s="560"/>
      <c r="AA81" s="551"/>
      <c r="AB81" s="174" t="s">
        <v>1366</v>
      </c>
      <c r="AC81" s="163">
        <v>20</v>
      </c>
      <c r="AD81" s="169" t="s">
        <v>1365</v>
      </c>
    </row>
    <row r="82" spans="1:30" ht="15" customHeight="1" x14ac:dyDescent="0.25">
      <c r="A82" s="3"/>
      <c r="F82" s="135" t="s">
        <v>303</v>
      </c>
      <c r="G82" s="140" t="s">
        <v>810</v>
      </c>
      <c r="H82" s="87" t="s">
        <v>16</v>
      </c>
      <c r="I82" s="136">
        <v>3</v>
      </c>
      <c r="T82" s="158"/>
      <c r="U82" s="158"/>
      <c r="V82" s="158"/>
      <c r="W82" s="158"/>
      <c r="X82" s="158"/>
      <c r="Z82" s="560"/>
      <c r="AA82" s="551"/>
      <c r="AB82" s="174" t="s">
        <v>1410</v>
      </c>
      <c r="AC82" s="163">
        <v>15</v>
      </c>
      <c r="AD82" s="169" t="s">
        <v>1365</v>
      </c>
    </row>
    <row r="83" spans="1:30" ht="15" customHeight="1" x14ac:dyDescent="0.25">
      <c r="A83" s="3"/>
      <c r="F83" s="135" t="s">
        <v>305</v>
      </c>
      <c r="G83" s="140">
        <v>0.78</v>
      </c>
      <c r="H83" s="87" t="s">
        <v>16</v>
      </c>
      <c r="I83" s="136">
        <v>5</v>
      </c>
      <c r="T83" s="158"/>
      <c r="U83" s="158"/>
      <c r="V83" s="158"/>
      <c r="W83" s="158"/>
      <c r="X83" s="158"/>
      <c r="Z83" s="560"/>
      <c r="AA83" s="551"/>
      <c r="AB83" s="174" t="s">
        <v>1367</v>
      </c>
      <c r="AC83" s="163">
        <v>60</v>
      </c>
      <c r="AD83" s="169" t="s">
        <v>1365</v>
      </c>
    </row>
    <row r="84" spans="1:30" ht="15" customHeight="1" x14ac:dyDescent="0.25">
      <c r="A84" s="3"/>
      <c r="F84" s="135" t="s">
        <v>811</v>
      </c>
      <c r="G84" s="140">
        <v>0.52</v>
      </c>
      <c r="H84" s="87" t="s">
        <v>17</v>
      </c>
      <c r="I84" s="136">
        <v>5</v>
      </c>
      <c r="T84" s="158"/>
      <c r="U84" s="158"/>
      <c r="V84" s="158"/>
      <c r="W84" s="158"/>
      <c r="X84" s="158"/>
      <c r="Z84" s="560"/>
      <c r="AA84" s="551"/>
      <c r="AB84" s="174" t="s">
        <v>1368</v>
      </c>
      <c r="AC84" s="163">
        <v>60</v>
      </c>
      <c r="AD84" s="169" t="s">
        <v>1365</v>
      </c>
    </row>
    <row r="85" spans="1:30" ht="15" customHeight="1" x14ac:dyDescent="0.25">
      <c r="A85" s="3"/>
      <c r="F85" s="135" t="s">
        <v>298</v>
      </c>
      <c r="G85" s="140">
        <v>0.69</v>
      </c>
      <c r="H85" s="87" t="s">
        <v>777</v>
      </c>
      <c r="I85" s="136">
        <v>4</v>
      </c>
      <c r="T85" s="158"/>
      <c r="U85" s="158"/>
      <c r="V85" s="158"/>
      <c r="W85" s="158"/>
      <c r="X85" s="158"/>
      <c r="Z85" s="560"/>
      <c r="AA85" s="551"/>
      <c r="AB85" s="174" t="s">
        <v>1369</v>
      </c>
      <c r="AC85" s="163">
        <v>50</v>
      </c>
      <c r="AD85" s="169" t="s">
        <v>1365</v>
      </c>
    </row>
    <row r="86" spans="1:30" ht="15" customHeight="1" x14ac:dyDescent="0.25">
      <c r="A86" s="3"/>
      <c r="F86" s="135" t="s">
        <v>307</v>
      </c>
      <c r="G86" s="140">
        <v>0.7</v>
      </c>
      <c r="H86" s="87" t="s">
        <v>16</v>
      </c>
      <c r="I86" s="136">
        <v>3</v>
      </c>
      <c r="T86" s="158"/>
      <c r="U86" s="158"/>
      <c r="V86" s="158"/>
      <c r="W86" s="158"/>
      <c r="X86" s="158"/>
      <c r="Z86" s="560"/>
      <c r="AA86" s="551"/>
      <c r="AB86" s="174" t="s">
        <v>1370</v>
      </c>
      <c r="AC86" s="163">
        <v>30</v>
      </c>
      <c r="AD86" s="169" t="s">
        <v>1365</v>
      </c>
    </row>
    <row r="87" spans="1:30" ht="15" customHeight="1" x14ac:dyDescent="0.25">
      <c r="A87" s="3"/>
      <c r="F87" s="135" t="s">
        <v>310</v>
      </c>
      <c r="G87" s="140">
        <v>0.63</v>
      </c>
      <c r="H87" s="87" t="s">
        <v>16</v>
      </c>
      <c r="I87" s="136">
        <v>5</v>
      </c>
      <c r="T87" s="158"/>
      <c r="U87" s="158"/>
      <c r="V87" s="158"/>
      <c r="W87" s="158"/>
      <c r="X87" s="158"/>
      <c r="Z87" s="560"/>
      <c r="AA87" s="551"/>
      <c r="AB87" s="174" t="s">
        <v>1391</v>
      </c>
      <c r="AC87" s="163">
        <v>80</v>
      </c>
      <c r="AD87" s="169" t="s">
        <v>1365</v>
      </c>
    </row>
    <row r="88" spans="1:30" ht="15" customHeight="1" x14ac:dyDescent="0.25">
      <c r="A88" s="3"/>
      <c r="F88" s="135" t="s">
        <v>812</v>
      </c>
      <c r="G88" s="140">
        <v>0.76</v>
      </c>
      <c r="H88" s="87" t="s">
        <v>17</v>
      </c>
      <c r="I88" s="136">
        <v>5</v>
      </c>
      <c r="T88" s="158"/>
      <c r="U88" s="158"/>
      <c r="V88" s="158"/>
      <c r="W88" s="158"/>
      <c r="X88" s="158"/>
      <c r="Z88" s="560"/>
      <c r="AA88" s="551"/>
      <c r="AB88" s="174" t="s">
        <v>1411</v>
      </c>
      <c r="AC88" s="163">
        <v>10</v>
      </c>
      <c r="AD88" s="169" t="s">
        <v>1365</v>
      </c>
    </row>
    <row r="89" spans="1:30" ht="15" customHeight="1" x14ac:dyDescent="0.25">
      <c r="A89" s="3"/>
      <c r="F89" s="135" t="s">
        <v>299</v>
      </c>
      <c r="G89" s="140">
        <v>0.61</v>
      </c>
      <c r="H89" s="87" t="s">
        <v>777</v>
      </c>
      <c r="I89" s="136">
        <v>5</v>
      </c>
      <c r="T89" s="158"/>
      <c r="U89" s="158"/>
      <c r="V89" s="158"/>
      <c r="W89" s="158"/>
      <c r="X89" s="158"/>
      <c r="Z89" s="560"/>
      <c r="AA89" s="551"/>
      <c r="AB89" s="174" t="s">
        <v>1392</v>
      </c>
      <c r="AC89" s="163">
        <v>20</v>
      </c>
      <c r="AD89" s="169" t="s">
        <v>1365</v>
      </c>
    </row>
    <row r="90" spans="1:30" ht="15" customHeight="1" x14ac:dyDescent="0.25">
      <c r="A90" s="3"/>
      <c r="F90" s="135" t="s">
        <v>313</v>
      </c>
      <c r="G90" s="140">
        <v>0.93</v>
      </c>
      <c r="H90" s="87" t="s">
        <v>16</v>
      </c>
      <c r="I90" s="136">
        <v>5</v>
      </c>
      <c r="T90" s="158"/>
      <c r="U90" s="158"/>
      <c r="V90" s="158"/>
      <c r="W90" s="158"/>
      <c r="X90" s="158"/>
      <c r="Z90" s="560"/>
      <c r="AA90" s="552"/>
      <c r="AB90" s="174" t="s">
        <v>1412</v>
      </c>
      <c r="AC90" s="163" t="s">
        <v>1393</v>
      </c>
      <c r="AD90" s="169" t="s">
        <v>1365</v>
      </c>
    </row>
    <row r="91" spans="1:30" ht="15" customHeight="1" x14ac:dyDescent="0.25">
      <c r="A91" s="3"/>
      <c r="F91" s="135" t="s">
        <v>813</v>
      </c>
      <c r="G91" s="140">
        <v>0.48</v>
      </c>
      <c r="H91" s="87" t="s">
        <v>17</v>
      </c>
      <c r="I91" s="136">
        <v>5</v>
      </c>
      <c r="T91" s="158"/>
      <c r="U91" s="158"/>
      <c r="V91" s="158"/>
      <c r="W91" s="158"/>
      <c r="X91" s="158"/>
      <c r="Z91" s="560"/>
      <c r="AA91" s="550" t="s">
        <v>1394</v>
      </c>
      <c r="AB91" s="174" t="s">
        <v>1364</v>
      </c>
      <c r="AC91" s="163" t="s">
        <v>1378</v>
      </c>
      <c r="AD91" s="169" t="s">
        <v>1365</v>
      </c>
    </row>
    <row r="92" spans="1:30" ht="15" customHeight="1" x14ac:dyDescent="0.25">
      <c r="A92" s="3"/>
      <c r="F92" s="135" t="s">
        <v>302</v>
      </c>
      <c r="G92" s="140">
        <v>0.57999999999999996</v>
      </c>
      <c r="H92" s="87" t="s">
        <v>777</v>
      </c>
      <c r="I92" s="136">
        <v>5</v>
      </c>
      <c r="T92" s="158"/>
      <c r="U92" s="158"/>
      <c r="V92" s="158"/>
      <c r="W92" s="158"/>
      <c r="X92" s="158"/>
      <c r="Z92" s="560"/>
      <c r="AA92" s="551"/>
      <c r="AB92" s="174" t="s">
        <v>1409</v>
      </c>
      <c r="AC92" s="163" t="s">
        <v>1379</v>
      </c>
      <c r="AD92" s="169" t="s">
        <v>1365</v>
      </c>
    </row>
    <row r="93" spans="1:30" ht="15" customHeight="1" x14ac:dyDescent="0.25">
      <c r="A93" s="3"/>
      <c r="F93" s="135" t="s">
        <v>814</v>
      </c>
      <c r="G93" s="140">
        <v>0.67</v>
      </c>
      <c r="H93" s="87" t="s">
        <v>17</v>
      </c>
      <c r="I93" s="136">
        <v>5</v>
      </c>
      <c r="T93" s="158"/>
      <c r="U93" s="158"/>
      <c r="V93" s="158"/>
      <c r="W93" s="158"/>
      <c r="X93" s="158"/>
      <c r="Z93" s="560"/>
      <c r="AA93" s="551"/>
      <c r="AB93" s="174" t="s">
        <v>1366</v>
      </c>
      <c r="AC93" s="163" t="s">
        <v>1380</v>
      </c>
      <c r="AD93" s="169" t="s">
        <v>1365</v>
      </c>
    </row>
    <row r="94" spans="1:30" ht="15" customHeight="1" x14ac:dyDescent="0.25">
      <c r="A94" s="3"/>
      <c r="F94" s="135" t="s">
        <v>316</v>
      </c>
      <c r="G94" s="140">
        <v>0.7</v>
      </c>
      <c r="H94" s="87" t="s">
        <v>16</v>
      </c>
      <c r="I94" s="136">
        <v>5</v>
      </c>
      <c r="Z94" s="560"/>
      <c r="AA94" s="551"/>
      <c r="AB94" s="174" t="s">
        <v>1410</v>
      </c>
      <c r="AC94" s="163" t="s">
        <v>1419</v>
      </c>
      <c r="AD94" s="169" t="s">
        <v>1365</v>
      </c>
    </row>
    <row r="95" spans="1:30" ht="15" customHeight="1" x14ac:dyDescent="0.25">
      <c r="A95" s="3"/>
      <c r="F95" s="135" t="s">
        <v>318</v>
      </c>
      <c r="G95" s="140">
        <v>0.5</v>
      </c>
      <c r="H95" s="87" t="s">
        <v>16</v>
      </c>
      <c r="I95" s="136">
        <v>5</v>
      </c>
      <c r="Z95" s="560"/>
      <c r="AA95" s="551"/>
      <c r="AB95" s="174" t="s">
        <v>1367</v>
      </c>
      <c r="AC95" s="163" t="s">
        <v>1381</v>
      </c>
      <c r="AD95" s="169" t="s">
        <v>1365</v>
      </c>
    </row>
    <row r="96" spans="1:30" ht="15" customHeight="1" x14ac:dyDescent="0.25">
      <c r="A96" s="3"/>
      <c r="F96" s="135" t="s">
        <v>304</v>
      </c>
      <c r="G96" s="140">
        <v>0.61</v>
      </c>
      <c r="H96" s="87" t="s">
        <v>777</v>
      </c>
      <c r="I96" s="136">
        <v>5</v>
      </c>
      <c r="Z96" s="560"/>
      <c r="AA96" s="551"/>
      <c r="AB96" s="174" t="s">
        <v>1368</v>
      </c>
      <c r="AC96" s="163" t="s">
        <v>1382</v>
      </c>
      <c r="AD96" s="169" t="s">
        <v>1365</v>
      </c>
    </row>
    <row r="97" spans="1:30" ht="15" customHeight="1" x14ac:dyDescent="0.25">
      <c r="A97" s="3"/>
      <c r="F97" s="135" t="s">
        <v>324</v>
      </c>
      <c r="G97" s="140">
        <v>0.57999999999999996</v>
      </c>
      <c r="H97" s="87" t="s">
        <v>17</v>
      </c>
      <c r="I97" s="136">
        <v>5</v>
      </c>
      <c r="Z97" s="560"/>
      <c r="AA97" s="551"/>
      <c r="AB97" s="174" t="s">
        <v>1369</v>
      </c>
      <c r="AC97" s="163" t="s">
        <v>1383</v>
      </c>
      <c r="AD97" s="169" t="s">
        <v>1365</v>
      </c>
    </row>
    <row r="98" spans="1:30" ht="15" customHeight="1" x14ac:dyDescent="0.25">
      <c r="A98" s="3"/>
      <c r="F98" s="135" t="s">
        <v>815</v>
      </c>
      <c r="G98" s="140">
        <v>0.57999999999999996</v>
      </c>
      <c r="H98" s="87" t="s">
        <v>16</v>
      </c>
      <c r="I98" s="136">
        <v>5</v>
      </c>
      <c r="Z98" s="560"/>
      <c r="AA98" s="551"/>
      <c r="AB98" s="174" t="s">
        <v>1370</v>
      </c>
      <c r="AC98" s="163" t="s">
        <v>1384</v>
      </c>
      <c r="AD98" s="169" t="s">
        <v>1365</v>
      </c>
    </row>
    <row r="99" spans="1:30" ht="15" customHeight="1" x14ac:dyDescent="0.25">
      <c r="A99" s="3"/>
      <c r="F99" s="135" t="s">
        <v>326</v>
      </c>
      <c r="G99" s="140">
        <v>0.78</v>
      </c>
      <c r="H99" s="87" t="s">
        <v>17</v>
      </c>
      <c r="I99" s="136">
        <v>5</v>
      </c>
      <c r="Z99" s="560"/>
      <c r="AA99" s="551"/>
      <c r="AB99" s="174" t="s">
        <v>1371</v>
      </c>
      <c r="AC99" s="163" t="s">
        <v>1385</v>
      </c>
      <c r="AD99" s="169" t="s">
        <v>1365</v>
      </c>
    </row>
    <row r="100" spans="1:30" ht="15" customHeight="1" x14ac:dyDescent="0.25">
      <c r="A100" s="3"/>
      <c r="F100" s="135" t="s">
        <v>816</v>
      </c>
      <c r="G100" s="140">
        <v>0.62</v>
      </c>
      <c r="H100" s="87" t="s">
        <v>777</v>
      </c>
      <c r="I100" s="136">
        <v>4</v>
      </c>
      <c r="Z100" s="561"/>
      <c r="AA100" s="552"/>
      <c r="AB100" s="174" t="s">
        <v>1372</v>
      </c>
      <c r="AC100" s="163" t="s">
        <v>1386</v>
      </c>
      <c r="AD100" s="169" t="s">
        <v>1365</v>
      </c>
    </row>
    <row r="101" spans="1:30" ht="15" customHeight="1" x14ac:dyDescent="0.25">
      <c r="A101" s="3"/>
      <c r="F101" s="135" t="s">
        <v>328</v>
      </c>
      <c r="G101" s="140" t="s">
        <v>817</v>
      </c>
      <c r="H101" s="87" t="s">
        <v>17</v>
      </c>
      <c r="I101" s="136">
        <v>5</v>
      </c>
      <c r="Z101" s="562" t="s">
        <v>655</v>
      </c>
      <c r="AA101" s="550" t="s">
        <v>1395</v>
      </c>
      <c r="AB101" s="174" t="s">
        <v>1414</v>
      </c>
      <c r="AC101" s="163">
        <v>200</v>
      </c>
      <c r="AD101" s="169" t="s">
        <v>1365</v>
      </c>
    </row>
    <row r="102" spans="1:30" ht="15" customHeight="1" x14ac:dyDescent="0.25">
      <c r="A102" s="3"/>
      <c r="F102" s="135" t="s">
        <v>309</v>
      </c>
      <c r="G102" s="140">
        <v>0.32</v>
      </c>
      <c r="H102" s="87" t="s">
        <v>777</v>
      </c>
      <c r="I102" s="136">
        <v>4</v>
      </c>
      <c r="Z102" s="560"/>
      <c r="AA102" s="551"/>
      <c r="AB102" s="174" t="s">
        <v>1415</v>
      </c>
      <c r="AC102" s="163">
        <v>30</v>
      </c>
      <c r="AD102" s="169" t="s">
        <v>1365</v>
      </c>
    </row>
    <row r="103" spans="1:30" ht="15" customHeight="1" x14ac:dyDescent="0.25">
      <c r="A103" s="3"/>
      <c r="F103" s="135" t="s">
        <v>331</v>
      </c>
      <c r="G103" s="140">
        <v>0.43</v>
      </c>
      <c r="H103" s="87" t="s">
        <v>17</v>
      </c>
      <c r="I103" s="136">
        <v>5</v>
      </c>
      <c r="Z103" s="560"/>
      <c r="AA103" s="551"/>
      <c r="AB103" s="174" t="s">
        <v>1416</v>
      </c>
      <c r="AC103" s="163" t="s">
        <v>1396</v>
      </c>
      <c r="AD103" s="169" t="s">
        <v>1365</v>
      </c>
    </row>
    <row r="104" spans="1:30" ht="15" customHeight="1" x14ac:dyDescent="0.25">
      <c r="A104" s="3"/>
      <c r="F104" s="135" t="s">
        <v>320</v>
      </c>
      <c r="G104" s="140">
        <v>0.74</v>
      </c>
      <c r="H104" s="87" t="s">
        <v>16</v>
      </c>
      <c r="I104" s="136">
        <v>5</v>
      </c>
      <c r="Z104" s="560"/>
      <c r="AA104" s="551"/>
      <c r="AB104" s="174" t="s">
        <v>1417</v>
      </c>
      <c r="AC104" s="163">
        <v>40</v>
      </c>
      <c r="AD104" s="169" t="s">
        <v>1365</v>
      </c>
    </row>
    <row r="105" spans="1:30" ht="15" customHeight="1" x14ac:dyDescent="0.25">
      <c r="A105" s="3"/>
      <c r="F105" s="135" t="s">
        <v>818</v>
      </c>
      <c r="G105" s="140">
        <v>0.42</v>
      </c>
      <c r="H105" s="87" t="s">
        <v>777</v>
      </c>
      <c r="I105" s="136">
        <v>1</v>
      </c>
      <c r="Z105" s="560"/>
      <c r="AA105" s="551"/>
      <c r="AB105" s="174" t="s">
        <v>1397</v>
      </c>
      <c r="AC105" s="163" t="s">
        <v>1398</v>
      </c>
      <c r="AD105" s="169" t="s">
        <v>1365</v>
      </c>
    </row>
    <row r="106" spans="1:30" ht="15" customHeight="1" x14ac:dyDescent="0.25">
      <c r="A106" s="3"/>
      <c r="F106" s="135" t="s">
        <v>819</v>
      </c>
      <c r="G106" s="140">
        <v>0.39</v>
      </c>
      <c r="H106" s="87" t="s">
        <v>777</v>
      </c>
      <c r="I106" s="136">
        <v>1</v>
      </c>
      <c r="Z106" s="560"/>
      <c r="AA106" s="551"/>
      <c r="AB106" s="174" t="s">
        <v>144</v>
      </c>
      <c r="AC106" s="163" t="s">
        <v>1399</v>
      </c>
      <c r="AD106" s="169" t="s">
        <v>1418</v>
      </c>
    </row>
    <row r="107" spans="1:30" ht="15" customHeight="1" x14ac:dyDescent="0.25">
      <c r="A107" s="3"/>
      <c r="F107" s="135" t="s">
        <v>312</v>
      </c>
      <c r="G107" s="140">
        <v>0.39</v>
      </c>
      <c r="H107" s="87" t="s">
        <v>777</v>
      </c>
      <c r="I107" s="136">
        <v>5</v>
      </c>
      <c r="Z107" s="560"/>
      <c r="AA107" s="552"/>
      <c r="AB107" s="174" t="s">
        <v>1400</v>
      </c>
      <c r="AC107" s="163" t="s">
        <v>1401</v>
      </c>
      <c r="AD107" s="169" t="s">
        <v>1365</v>
      </c>
    </row>
    <row r="108" spans="1:30" ht="15" customHeight="1" x14ac:dyDescent="0.25">
      <c r="A108" s="3"/>
      <c r="F108" s="135" t="s">
        <v>820</v>
      </c>
      <c r="G108" s="140">
        <v>0.35</v>
      </c>
      <c r="H108" s="87" t="s">
        <v>16</v>
      </c>
      <c r="I108" s="136">
        <v>3</v>
      </c>
      <c r="Z108" s="560"/>
      <c r="AA108" s="550" t="s">
        <v>1402</v>
      </c>
      <c r="AB108" s="174" t="s">
        <v>1414</v>
      </c>
      <c r="AC108" s="163">
        <v>200</v>
      </c>
      <c r="AD108" s="169" t="s">
        <v>1365</v>
      </c>
    </row>
    <row r="109" spans="1:30" ht="15" customHeight="1" x14ac:dyDescent="0.25">
      <c r="A109" s="3"/>
      <c r="F109" s="135" t="s">
        <v>821</v>
      </c>
      <c r="G109" s="140">
        <v>0.39</v>
      </c>
      <c r="H109" s="87" t="s">
        <v>777</v>
      </c>
      <c r="I109" s="136">
        <v>1</v>
      </c>
      <c r="Z109" s="560"/>
      <c r="AA109" s="551"/>
      <c r="AB109" s="174" t="s">
        <v>1415</v>
      </c>
      <c r="AC109" s="163">
        <v>15</v>
      </c>
      <c r="AD109" s="169" t="s">
        <v>1365</v>
      </c>
    </row>
    <row r="110" spans="1:30" ht="15" customHeight="1" x14ac:dyDescent="0.25">
      <c r="A110" s="3"/>
      <c r="F110" s="135" t="s">
        <v>315</v>
      </c>
      <c r="G110" s="140">
        <v>0.52</v>
      </c>
      <c r="H110" s="87" t="s">
        <v>777</v>
      </c>
      <c r="I110" s="136">
        <v>5</v>
      </c>
      <c r="Z110" s="560"/>
      <c r="AA110" s="551"/>
      <c r="AB110" s="174" t="s">
        <v>1416</v>
      </c>
      <c r="AC110" s="163" t="s">
        <v>1403</v>
      </c>
      <c r="AD110" s="169" t="s">
        <v>1365</v>
      </c>
    </row>
    <row r="111" spans="1:30" ht="15" customHeight="1" x14ac:dyDescent="0.25">
      <c r="A111" s="3"/>
      <c r="F111" s="135" t="s">
        <v>337</v>
      </c>
      <c r="G111" s="140">
        <v>0.5</v>
      </c>
      <c r="H111" s="87" t="s">
        <v>17</v>
      </c>
      <c r="I111" s="136">
        <v>5</v>
      </c>
      <c r="Z111" s="560"/>
      <c r="AA111" s="551"/>
      <c r="AB111" s="174" t="s">
        <v>1417</v>
      </c>
      <c r="AC111" s="163" t="s">
        <v>1404</v>
      </c>
      <c r="AD111" s="169" t="s">
        <v>1365</v>
      </c>
    </row>
    <row r="112" spans="1:30" ht="15" customHeight="1" x14ac:dyDescent="0.25">
      <c r="A112" s="3"/>
      <c r="F112" s="135" t="s">
        <v>822</v>
      </c>
      <c r="G112" s="140">
        <v>0.39</v>
      </c>
      <c r="H112" s="87" t="s">
        <v>777</v>
      </c>
      <c r="I112" s="136">
        <v>2</v>
      </c>
      <c r="Z112" s="560"/>
      <c r="AA112" s="551"/>
      <c r="AB112" s="174" t="s">
        <v>1397</v>
      </c>
      <c r="AC112" s="163" t="s">
        <v>1398</v>
      </c>
      <c r="AD112" s="169" t="s">
        <v>1365</v>
      </c>
    </row>
    <row r="113" spans="1:30" ht="15" customHeight="1" x14ac:dyDescent="0.25">
      <c r="A113" s="3"/>
      <c r="F113" s="135" t="s">
        <v>823</v>
      </c>
      <c r="G113" s="140">
        <v>0.39</v>
      </c>
      <c r="H113" s="87" t="s">
        <v>777</v>
      </c>
      <c r="I113" s="136">
        <v>2</v>
      </c>
      <c r="Z113" s="561"/>
      <c r="AA113" s="552"/>
      <c r="AB113" s="174" t="s">
        <v>1400</v>
      </c>
      <c r="AC113" s="163" t="s">
        <v>1401</v>
      </c>
      <c r="AD113" s="169" t="s">
        <v>1365</v>
      </c>
    </row>
    <row r="114" spans="1:30" ht="15" customHeight="1" x14ac:dyDescent="0.25">
      <c r="A114" s="3"/>
      <c r="F114" s="135" t="s">
        <v>824</v>
      </c>
      <c r="G114" s="140">
        <v>0.79</v>
      </c>
      <c r="H114" s="87" t="s">
        <v>777</v>
      </c>
      <c r="I114" s="136">
        <v>4</v>
      </c>
      <c r="Z114" s="562" t="s">
        <v>648</v>
      </c>
      <c r="AA114" s="553" t="s">
        <v>1405</v>
      </c>
      <c r="AB114" s="174" t="s">
        <v>1406</v>
      </c>
      <c r="AC114" s="163">
        <v>40</v>
      </c>
      <c r="AD114" s="169" t="s">
        <v>1365</v>
      </c>
    </row>
    <row r="115" spans="1:30" ht="15" customHeight="1" x14ac:dyDescent="0.25">
      <c r="A115" s="3"/>
      <c r="F115" s="135" t="s">
        <v>825</v>
      </c>
      <c r="G115" s="140">
        <v>0.52</v>
      </c>
      <c r="H115" s="87" t="s">
        <v>777</v>
      </c>
      <c r="I115" s="136">
        <v>2</v>
      </c>
      <c r="Z115" s="560"/>
      <c r="AA115" s="553"/>
      <c r="AB115" s="174" t="s">
        <v>1413</v>
      </c>
      <c r="AC115" s="163">
        <v>5</v>
      </c>
      <c r="AD115" s="169" t="s">
        <v>1365</v>
      </c>
    </row>
    <row r="116" spans="1:30" ht="15" customHeight="1" x14ac:dyDescent="0.25">
      <c r="A116" s="3"/>
      <c r="F116" s="135" t="s">
        <v>826</v>
      </c>
      <c r="G116" s="140">
        <v>0.52</v>
      </c>
      <c r="H116" s="87" t="s">
        <v>16</v>
      </c>
      <c r="I116" s="136">
        <v>5</v>
      </c>
      <c r="Z116" s="560"/>
      <c r="AA116" s="553"/>
      <c r="AB116" s="174" t="s">
        <v>1397</v>
      </c>
      <c r="AC116" s="163" t="s">
        <v>1407</v>
      </c>
      <c r="AD116" s="169" t="s">
        <v>1365</v>
      </c>
    </row>
    <row r="117" spans="1:30" ht="15" customHeight="1" x14ac:dyDescent="0.25">
      <c r="A117" s="3"/>
      <c r="F117" s="135" t="s">
        <v>323</v>
      </c>
      <c r="G117" s="140">
        <v>0.47</v>
      </c>
      <c r="H117" s="87" t="s">
        <v>16</v>
      </c>
      <c r="I117" s="136">
        <v>5</v>
      </c>
      <c r="Z117" s="560"/>
      <c r="AA117" s="550" t="s">
        <v>1344</v>
      </c>
      <c r="AB117" s="174" t="s">
        <v>1406</v>
      </c>
      <c r="AC117" s="163">
        <v>25</v>
      </c>
      <c r="AD117" s="169" t="s">
        <v>1365</v>
      </c>
    </row>
    <row r="118" spans="1:30" ht="15" customHeight="1" x14ac:dyDescent="0.25">
      <c r="A118" s="3"/>
      <c r="F118" s="135" t="s">
        <v>339</v>
      </c>
      <c r="G118" s="140">
        <v>0.5</v>
      </c>
      <c r="H118" s="87" t="s">
        <v>17</v>
      </c>
      <c r="I118" s="136">
        <v>5</v>
      </c>
      <c r="Z118" s="560"/>
      <c r="AA118" s="551"/>
      <c r="AB118" s="174" t="s">
        <v>1413</v>
      </c>
      <c r="AC118" s="163">
        <v>5</v>
      </c>
      <c r="AD118" s="169" t="s">
        <v>1365</v>
      </c>
    </row>
    <row r="119" spans="1:30" ht="15" customHeight="1" thickBot="1" x14ac:dyDescent="0.3">
      <c r="A119" s="3"/>
      <c r="F119" s="135" t="s">
        <v>827</v>
      </c>
      <c r="G119" s="140">
        <v>0.55000000000000004</v>
      </c>
      <c r="H119" s="87" t="s">
        <v>777</v>
      </c>
      <c r="I119" s="136">
        <v>4</v>
      </c>
      <c r="Z119" s="563"/>
      <c r="AA119" s="557"/>
      <c r="AB119" s="176" t="s">
        <v>1397</v>
      </c>
      <c r="AC119" s="173">
        <v>25</v>
      </c>
      <c r="AD119" s="171" t="s">
        <v>1365</v>
      </c>
    </row>
    <row r="120" spans="1:30" ht="15" customHeight="1" x14ac:dyDescent="0.25">
      <c r="A120" s="3"/>
      <c r="F120" s="135" t="s">
        <v>828</v>
      </c>
      <c r="G120" s="140">
        <v>0.69</v>
      </c>
      <c r="H120" s="87" t="s">
        <v>777</v>
      </c>
      <c r="I120" s="136">
        <v>4</v>
      </c>
    </row>
    <row r="121" spans="1:30" ht="15" customHeight="1" x14ac:dyDescent="0.25">
      <c r="A121" s="3"/>
      <c r="F121" s="135" t="s">
        <v>829</v>
      </c>
      <c r="G121" s="140">
        <v>0.96</v>
      </c>
      <c r="H121" s="87" t="s">
        <v>777</v>
      </c>
      <c r="I121" s="136">
        <v>4</v>
      </c>
    </row>
    <row r="122" spans="1:30" ht="15" customHeight="1" x14ac:dyDescent="0.25">
      <c r="A122" s="3"/>
      <c r="F122" s="135" t="s">
        <v>830</v>
      </c>
      <c r="G122" s="140">
        <v>0.7</v>
      </c>
      <c r="H122" s="87" t="s">
        <v>777</v>
      </c>
      <c r="I122" s="136">
        <v>1</v>
      </c>
    </row>
    <row r="123" spans="1:30" ht="15" customHeight="1" x14ac:dyDescent="0.25">
      <c r="A123" s="3"/>
      <c r="F123" s="135" t="s">
        <v>831</v>
      </c>
      <c r="G123" s="140">
        <v>0.57999999999999996</v>
      </c>
      <c r="H123" s="87" t="s">
        <v>777</v>
      </c>
      <c r="I123" s="136">
        <v>4</v>
      </c>
    </row>
    <row r="124" spans="1:30" ht="15" customHeight="1" x14ac:dyDescent="0.25">
      <c r="A124" s="3"/>
      <c r="F124" s="135" t="s">
        <v>832</v>
      </c>
      <c r="G124" s="140">
        <v>0.53</v>
      </c>
      <c r="H124" s="87" t="s">
        <v>777</v>
      </c>
      <c r="I124" s="136">
        <v>4</v>
      </c>
    </row>
    <row r="125" spans="1:30" ht="15" customHeight="1" x14ac:dyDescent="0.25">
      <c r="A125" s="3"/>
      <c r="F125" s="135" t="s">
        <v>833</v>
      </c>
      <c r="G125" s="140">
        <v>0.87</v>
      </c>
      <c r="H125" s="87" t="s">
        <v>777</v>
      </c>
      <c r="I125" s="136">
        <v>4</v>
      </c>
    </row>
    <row r="126" spans="1:30" ht="15" customHeight="1" x14ac:dyDescent="0.25">
      <c r="A126" s="3"/>
      <c r="F126" s="135" t="s">
        <v>319</v>
      </c>
      <c r="G126" s="140" t="s">
        <v>834</v>
      </c>
      <c r="H126" s="87" t="s">
        <v>777</v>
      </c>
      <c r="I126" s="136">
        <v>1</v>
      </c>
    </row>
    <row r="127" spans="1:30" ht="15" customHeight="1" x14ac:dyDescent="0.25">
      <c r="A127" s="3"/>
      <c r="F127" s="135" t="s">
        <v>321</v>
      </c>
      <c r="G127" s="140">
        <v>0.54</v>
      </c>
      <c r="H127" s="87" t="s">
        <v>777</v>
      </c>
      <c r="I127" s="136">
        <v>5</v>
      </c>
    </row>
    <row r="128" spans="1:30" ht="15" customHeight="1" x14ac:dyDescent="0.25">
      <c r="A128" s="3"/>
      <c r="F128" s="135" t="s">
        <v>835</v>
      </c>
      <c r="G128" s="140">
        <v>0.63</v>
      </c>
      <c r="H128" s="87" t="s">
        <v>777</v>
      </c>
      <c r="I128" s="136">
        <v>4</v>
      </c>
    </row>
    <row r="129" spans="1:9" ht="15" customHeight="1" x14ac:dyDescent="0.25">
      <c r="A129" s="3"/>
      <c r="F129" s="135" t="s">
        <v>836</v>
      </c>
      <c r="G129" s="140">
        <v>0.79</v>
      </c>
      <c r="H129" s="87" t="s">
        <v>777</v>
      </c>
      <c r="I129" s="136">
        <v>4</v>
      </c>
    </row>
    <row r="130" spans="1:9" ht="15" customHeight="1" x14ac:dyDescent="0.25">
      <c r="A130" s="3"/>
      <c r="F130" s="135" t="s">
        <v>837</v>
      </c>
      <c r="G130" s="140">
        <v>0.45</v>
      </c>
      <c r="H130" s="87" t="s">
        <v>17</v>
      </c>
      <c r="I130" s="136">
        <v>5</v>
      </c>
    </row>
    <row r="131" spans="1:9" ht="15" customHeight="1" x14ac:dyDescent="0.25">
      <c r="A131" s="3"/>
      <c r="F131" s="135" t="s">
        <v>838</v>
      </c>
      <c r="G131" s="140">
        <v>0.72</v>
      </c>
      <c r="H131" s="87" t="s">
        <v>777</v>
      </c>
      <c r="I131" s="136">
        <v>4</v>
      </c>
    </row>
    <row r="132" spans="1:9" ht="15" customHeight="1" x14ac:dyDescent="0.25">
      <c r="A132" s="3"/>
      <c r="F132" s="135" t="s">
        <v>839</v>
      </c>
      <c r="G132" s="140">
        <v>0.88</v>
      </c>
      <c r="H132" s="87" t="s">
        <v>777</v>
      </c>
      <c r="I132" s="136">
        <v>1</v>
      </c>
    </row>
    <row r="133" spans="1:9" ht="15" customHeight="1" x14ac:dyDescent="0.25">
      <c r="A133" s="3"/>
      <c r="F133" s="135" t="s">
        <v>322</v>
      </c>
      <c r="G133" s="140">
        <v>0.93</v>
      </c>
      <c r="H133" s="87" t="s">
        <v>777</v>
      </c>
      <c r="I133" s="136">
        <v>5</v>
      </c>
    </row>
    <row r="134" spans="1:9" ht="15" customHeight="1" x14ac:dyDescent="0.25">
      <c r="A134" s="3"/>
      <c r="F134" s="135" t="s">
        <v>341</v>
      </c>
      <c r="G134" s="140">
        <v>0.59</v>
      </c>
      <c r="H134" s="87" t="s">
        <v>17</v>
      </c>
      <c r="I134" s="136">
        <v>5</v>
      </c>
    </row>
    <row r="135" spans="1:9" ht="15" customHeight="1" x14ac:dyDescent="0.25">
      <c r="A135" s="3"/>
      <c r="F135" s="135" t="s">
        <v>327</v>
      </c>
      <c r="G135" s="140" t="s">
        <v>840</v>
      </c>
      <c r="H135" s="87" t="s">
        <v>777</v>
      </c>
      <c r="I135" s="136">
        <v>5</v>
      </c>
    </row>
    <row r="136" spans="1:9" ht="15" customHeight="1" x14ac:dyDescent="0.25">
      <c r="A136" s="3"/>
      <c r="F136" s="135" t="s">
        <v>343</v>
      </c>
      <c r="G136" s="140">
        <v>0.48</v>
      </c>
      <c r="H136" s="87" t="s">
        <v>17</v>
      </c>
      <c r="I136" s="136">
        <v>5</v>
      </c>
    </row>
    <row r="137" spans="1:9" ht="15" customHeight="1" x14ac:dyDescent="0.25">
      <c r="A137" s="3"/>
      <c r="F137" s="135" t="s">
        <v>329</v>
      </c>
      <c r="G137" s="140">
        <v>0.64</v>
      </c>
      <c r="H137" s="87" t="s">
        <v>777</v>
      </c>
      <c r="I137" s="136">
        <v>5</v>
      </c>
    </row>
    <row r="138" spans="1:9" ht="15" customHeight="1" x14ac:dyDescent="0.25">
      <c r="A138" s="3"/>
      <c r="F138" s="135" t="s">
        <v>841</v>
      </c>
      <c r="G138" s="140">
        <v>0.61</v>
      </c>
      <c r="H138" s="87" t="s">
        <v>777</v>
      </c>
      <c r="I138" s="136">
        <v>4</v>
      </c>
    </row>
    <row r="139" spans="1:9" ht="15" customHeight="1" x14ac:dyDescent="0.25">
      <c r="A139" s="3"/>
      <c r="F139" s="135" t="s">
        <v>842</v>
      </c>
      <c r="G139" s="140">
        <v>0.33</v>
      </c>
      <c r="H139" s="87" t="s">
        <v>777</v>
      </c>
      <c r="I139" s="136">
        <v>2</v>
      </c>
    </row>
    <row r="140" spans="1:9" ht="15" customHeight="1" x14ac:dyDescent="0.25">
      <c r="A140" s="3"/>
      <c r="F140" s="135" t="s">
        <v>843</v>
      </c>
      <c r="G140" s="140">
        <v>0.55000000000000004</v>
      </c>
      <c r="H140" s="87" t="s">
        <v>777</v>
      </c>
      <c r="I140" s="136">
        <v>4</v>
      </c>
    </row>
    <row r="141" spans="1:9" ht="15" customHeight="1" x14ac:dyDescent="0.25">
      <c r="A141" s="3"/>
      <c r="F141" s="135" t="s">
        <v>844</v>
      </c>
      <c r="G141" s="140">
        <v>1.05</v>
      </c>
      <c r="H141" s="87" t="s">
        <v>777</v>
      </c>
      <c r="I141" s="136">
        <v>5</v>
      </c>
    </row>
    <row r="142" spans="1:9" ht="15" customHeight="1" x14ac:dyDescent="0.25">
      <c r="A142" s="3"/>
      <c r="F142" s="135" t="s">
        <v>845</v>
      </c>
      <c r="G142" s="140">
        <v>0.53</v>
      </c>
      <c r="H142" s="87" t="s">
        <v>777</v>
      </c>
      <c r="I142" s="136">
        <v>4</v>
      </c>
    </row>
    <row r="143" spans="1:9" ht="15" customHeight="1" x14ac:dyDescent="0.25">
      <c r="A143" s="3"/>
      <c r="F143" s="135" t="s">
        <v>334</v>
      </c>
      <c r="G143" s="140">
        <v>0.46</v>
      </c>
      <c r="H143" s="87" t="s">
        <v>777</v>
      </c>
      <c r="I143" s="136">
        <v>1</v>
      </c>
    </row>
    <row r="144" spans="1:9" ht="15" customHeight="1" x14ac:dyDescent="0.25">
      <c r="A144" s="3"/>
      <c r="F144" s="135" t="s">
        <v>334</v>
      </c>
      <c r="G144" s="140">
        <v>0.53</v>
      </c>
      <c r="H144" s="87" t="s">
        <v>17</v>
      </c>
      <c r="I144" s="136">
        <v>5</v>
      </c>
    </row>
    <row r="145" spans="1:9" ht="15" customHeight="1" x14ac:dyDescent="0.25">
      <c r="A145" s="3"/>
      <c r="F145" s="135" t="s">
        <v>325</v>
      </c>
      <c r="G145" s="140">
        <v>0.63</v>
      </c>
      <c r="H145" s="87" t="s">
        <v>16</v>
      </c>
      <c r="I145" s="136">
        <v>5</v>
      </c>
    </row>
    <row r="146" spans="1:9" ht="15" customHeight="1" x14ac:dyDescent="0.25">
      <c r="A146" s="3"/>
      <c r="F146" s="135" t="s">
        <v>348</v>
      </c>
      <c r="G146" s="140">
        <v>0.53</v>
      </c>
      <c r="H146" s="87" t="s">
        <v>17</v>
      </c>
      <c r="I146" s="136">
        <v>5</v>
      </c>
    </row>
    <row r="147" spans="1:9" ht="15" customHeight="1" x14ac:dyDescent="0.25">
      <c r="A147" s="3"/>
      <c r="F147" s="135" t="s">
        <v>846</v>
      </c>
      <c r="G147" s="140">
        <v>0.74</v>
      </c>
      <c r="H147" s="87" t="s">
        <v>777</v>
      </c>
      <c r="I147" s="136">
        <v>1</v>
      </c>
    </row>
    <row r="148" spans="1:9" ht="15" customHeight="1" x14ac:dyDescent="0.25">
      <c r="A148" s="3"/>
      <c r="F148" s="135" t="s">
        <v>336</v>
      </c>
      <c r="G148" s="140">
        <v>0.37</v>
      </c>
      <c r="H148" s="87" t="s">
        <v>777</v>
      </c>
      <c r="I148" s="136">
        <v>1</v>
      </c>
    </row>
    <row r="149" spans="1:9" ht="15" customHeight="1" x14ac:dyDescent="0.25">
      <c r="A149" s="3"/>
      <c r="F149" s="135" t="s">
        <v>350</v>
      </c>
      <c r="G149" s="140">
        <v>0.28999999999999998</v>
      </c>
      <c r="H149" s="87" t="s">
        <v>17</v>
      </c>
      <c r="I149" s="136">
        <v>5</v>
      </c>
    </row>
    <row r="150" spans="1:9" ht="15" customHeight="1" x14ac:dyDescent="0.25">
      <c r="A150" s="3"/>
      <c r="F150" s="135" t="s">
        <v>847</v>
      </c>
      <c r="G150" s="140">
        <v>0.44</v>
      </c>
      <c r="H150" s="87" t="s">
        <v>17</v>
      </c>
      <c r="I150" s="136">
        <v>5</v>
      </c>
    </row>
    <row r="151" spans="1:9" ht="15" customHeight="1" x14ac:dyDescent="0.25">
      <c r="A151" s="3"/>
      <c r="F151" s="135" t="s">
        <v>353</v>
      </c>
      <c r="G151" s="140">
        <v>0.42</v>
      </c>
      <c r="H151" s="87" t="s">
        <v>17</v>
      </c>
      <c r="I151" s="136">
        <v>5</v>
      </c>
    </row>
    <row r="152" spans="1:9" ht="15" customHeight="1" x14ac:dyDescent="0.25">
      <c r="A152" s="3"/>
      <c r="F152" s="135" t="s">
        <v>330</v>
      </c>
      <c r="G152" s="140">
        <v>0.63</v>
      </c>
      <c r="H152" s="87" t="s">
        <v>16</v>
      </c>
      <c r="I152" s="136">
        <v>5</v>
      </c>
    </row>
    <row r="153" spans="1:9" ht="15" customHeight="1" x14ac:dyDescent="0.25">
      <c r="A153" s="3"/>
      <c r="F153" s="135" t="s">
        <v>355</v>
      </c>
      <c r="G153" s="140">
        <v>0.66</v>
      </c>
      <c r="H153" s="87" t="s">
        <v>17</v>
      </c>
      <c r="I153" s="136">
        <v>5</v>
      </c>
    </row>
    <row r="154" spans="1:9" ht="15" customHeight="1" x14ac:dyDescent="0.25">
      <c r="A154" s="3"/>
      <c r="F154" s="135" t="s">
        <v>848</v>
      </c>
      <c r="G154" s="140">
        <v>0.55000000000000004</v>
      </c>
      <c r="H154" s="87" t="s">
        <v>777</v>
      </c>
      <c r="I154" s="136">
        <v>4</v>
      </c>
    </row>
    <row r="155" spans="1:9" ht="15" customHeight="1" x14ac:dyDescent="0.25">
      <c r="A155" s="3"/>
      <c r="F155" s="135" t="s">
        <v>332</v>
      </c>
      <c r="G155" s="140">
        <v>0.59</v>
      </c>
      <c r="H155" s="87" t="s">
        <v>16</v>
      </c>
      <c r="I155" s="136">
        <v>5</v>
      </c>
    </row>
    <row r="156" spans="1:9" ht="15" customHeight="1" x14ac:dyDescent="0.25">
      <c r="A156" s="3"/>
      <c r="F156" s="135" t="s">
        <v>849</v>
      </c>
      <c r="G156" s="140">
        <v>0.49</v>
      </c>
      <c r="H156" s="87" t="s">
        <v>777</v>
      </c>
      <c r="I156" s="136">
        <v>4</v>
      </c>
    </row>
    <row r="157" spans="1:9" ht="15" customHeight="1" x14ac:dyDescent="0.25">
      <c r="A157" s="3"/>
      <c r="F157" s="135" t="s">
        <v>850</v>
      </c>
      <c r="G157" s="140">
        <v>0.64</v>
      </c>
      <c r="H157" s="87" t="s">
        <v>777</v>
      </c>
      <c r="I157" s="136">
        <v>4</v>
      </c>
    </row>
    <row r="158" spans="1:9" ht="15" customHeight="1" x14ac:dyDescent="0.25">
      <c r="A158" s="3"/>
      <c r="F158" s="135" t="s">
        <v>851</v>
      </c>
      <c r="G158" s="140">
        <v>0.65</v>
      </c>
      <c r="H158" s="87" t="s">
        <v>777</v>
      </c>
      <c r="I158" s="136">
        <v>1</v>
      </c>
    </row>
    <row r="159" spans="1:9" ht="15" customHeight="1" x14ac:dyDescent="0.25">
      <c r="A159" s="3"/>
      <c r="F159" s="135" t="s">
        <v>852</v>
      </c>
      <c r="G159" s="140">
        <v>0.72</v>
      </c>
      <c r="H159" s="87" t="s">
        <v>777</v>
      </c>
      <c r="I159" s="136">
        <v>4</v>
      </c>
    </row>
    <row r="160" spans="1:9" ht="15" customHeight="1" x14ac:dyDescent="0.25">
      <c r="A160" s="3"/>
      <c r="F160" s="135" t="s">
        <v>333</v>
      </c>
      <c r="G160" s="140">
        <v>0.5</v>
      </c>
      <c r="H160" s="87" t="s">
        <v>16</v>
      </c>
      <c r="I160" s="136">
        <v>5</v>
      </c>
    </row>
    <row r="161" spans="1:9" ht="15" customHeight="1" x14ac:dyDescent="0.25">
      <c r="A161" s="3"/>
      <c r="F161" s="135" t="s">
        <v>342</v>
      </c>
      <c r="G161" s="140">
        <v>0.62</v>
      </c>
      <c r="H161" s="87" t="s">
        <v>777</v>
      </c>
      <c r="I161" s="136">
        <v>5</v>
      </c>
    </row>
    <row r="162" spans="1:9" ht="15" customHeight="1" x14ac:dyDescent="0.25">
      <c r="A162" s="3"/>
      <c r="F162" s="135" t="s">
        <v>357</v>
      </c>
      <c r="G162" s="140">
        <v>0.69</v>
      </c>
      <c r="H162" s="87" t="s">
        <v>17</v>
      </c>
      <c r="I162" s="136">
        <v>5</v>
      </c>
    </row>
    <row r="163" spans="1:9" ht="15" customHeight="1" x14ac:dyDescent="0.25">
      <c r="A163" s="3"/>
      <c r="F163" s="135" t="s">
        <v>344</v>
      </c>
      <c r="G163" s="140">
        <v>0.71</v>
      </c>
      <c r="H163" s="87" t="s">
        <v>777</v>
      </c>
      <c r="I163" s="136">
        <v>5</v>
      </c>
    </row>
    <row r="164" spans="1:9" ht="15" customHeight="1" x14ac:dyDescent="0.25">
      <c r="A164" s="3"/>
      <c r="F164" s="135" t="s">
        <v>853</v>
      </c>
      <c r="G164" s="140">
        <v>1.01</v>
      </c>
      <c r="H164" s="87" t="s">
        <v>777</v>
      </c>
      <c r="I164" s="136">
        <v>4</v>
      </c>
    </row>
    <row r="165" spans="1:9" ht="15" customHeight="1" x14ac:dyDescent="0.25">
      <c r="A165" s="3"/>
      <c r="F165" s="135" t="s">
        <v>335</v>
      </c>
      <c r="G165" s="140">
        <v>0.7</v>
      </c>
      <c r="H165" s="87" t="s">
        <v>16</v>
      </c>
      <c r="I165" s="136">
        <v>5</v>
      </c>
    </row>
    <row r="166" spans="1:9" ht="15" customHeight="1" x14ac:dyDescent="0.25">
      <c r="A166" s="3"/>
      <c r="F166" s="135" t="s">
        <v>338</v>
      </c>
      <c r="G166" s="140">
        <v>0.59</v>
      </c>
      <c r="H166" s="87" t="s">
        <v>16</v>
      </c>
      <c r="I166" s="136">
        <v>5</v>
      </c>
    </row>
    <row r="167" spans="1:9" ht="15" customHeight="1" x14ac:dyDescent="0.25">
      <c r="A167" s="3"/>
      <c r="F167" s="135" t="s">
        <v>358</v>
      </c>
      <c r="G167" s="140">
        <v>0.51</v>
      </c>
      <c r="H167" s="87" t="s">
        <v>17</v>
      </c>
      <c r="I167" s="136">
        <v>5</v>
      </c>
    </row>
    <row r="168" spans="1:9" ht="15" customHeight="1" x14ac:dyDescent="0.25">
      <c r="A168" s="3"/>
      <c r="F168" s="135" t="s">
        <v>346</v>
      </c>
      <c r="G168" s="140">
        <v>0.81</v>
      </c>
      <c r="H168" s="87" t="s">
        <v>777</v>
      </c>
      <c r="I168" s="136">
        <v>5</v>
      </c>
    </row>
    <row r="169" spans="1:9" ht="15" customHeight="1" x14ac:dyDescent="0.25">
      <c r="A169" s="3"/>
      <c r="F169" s="135" t="s">
        <v>346</v>
      </c>
      <c r="G169" s="140">
        <v>0.83</v>
      </c>
      <c r="H169" s="87" t="s">
        <v>17</v>
      </c>
      <c r="I169" s="136">
        <v>5</v>
      </c>
    </row>
    <row r="170" spans="1:9" ht="15" customHeight="1" x14ac:dyDescent="0.25">
      <c r="A170" s="3"/>
      <c r="F170" s="135" t="s">
        <v>363</v>
      </c>
      <c r="G170" s="140">
        <v>0.85</v>
      </c>
      <c r="H170" s="87" t="s">
        <v>17</v>
      </c>
      <c r="I170" s="136">
        <v>5</v>
      </c>
    </row>
    <row r="171" spans="1:9" ht="15" customHeight="1" x14ac:dyDescent="0.25">
      <c r="A171" s="3"/>
      <c r="F171" s="135" t="s">
        <v>854</v>
      </c>
      <c r="G171" s="140">
        <v>0.5</v>
      </c>
      <c r="H171" s="87" t="s">
        <v>777</v>
      </c>
      <c r="I171" s="136">
        <v>1</v>
      </c>
    </row>
    <row r="172" spans="1:9" ht="15" customHeight="1" x14ac:dyDescent="0.25">
      <c r="A172" s="3"/>
      <c r="F172" s="135" t="s">
        <v>855</v>
      </c>
      <c r="G172" s="140">
        <v>0.36</v>
      </c>
      <c r="H172" s="87" t="s">
        <v>777</v>
      </c>
      <c r="I172" s="136">
        <v>5</v>
      </c>
    </row>
    <row r="173" spans="1:9" ht="15" customHeight="1" x14ac:dyDescent="0.25">
      <c r="A173" s="3"/>
      <c r="F173" s="135" t="s">
        <v>366</v>
      </c>
      <c r="G173" s="140">
        <v>0.42</v>
      </c>
      <c r="H173" s="87" t="s">
        <v>777</v>
      </c>
      <c r="I173" s="136">
        <v>1</v>
      </c>
    </row>
    <row r="174" spans="1:9" ht="15" customHeight="1" x14ac:dyDescent="0.25">
      <c r="A174" s="3"/>
      <c r="F174" s="135" t="s">
        <v>366</v>
      </c>
      <c r="G174" s="140">
        <v>0.38</v>
      </c>
      <c r="H174" s="87" t="s">
        <v>17</v>
      </c>
      <c r="I174" s="136">
        <v>5</v>
      </c>
    </row>
    <row r="175" spans="1:9" ht="15" customHeight="1" x14ac:dyDescent="0.25">
      <c r="A175" s="3"/>
      <c r="F175" s="135" t="s">
        <v>856</v>
      </c>
      <c r="G175" s="140" t="s">
        <v>857</v>
      </c>
      <c r="H175" s="87" t="s">
        <v>777</v>
      </c>
      <c r="I175" s="136">
        <v>5</v>
      </c>
    </row>
    <row r="176" spans="1:9" ht="15" customHeight="1" x14ac:dyDescent="0.25">
      <c r="A176" s="3"/>
      <c r="F176" s="135" t="s">
        <v>372</v>
      </c>
      <c r="G176" s="140">
        <v>0.43</v>
      </c>
      <c r="H176" s="87" t="s">
        <v>17</v>
      </c>
      <c r="I176" s="136">
        <v>5</v>
      </c>
    </row>
    <row r="177" spans="1:9" ht="15" customHeight="1" x14ac:dyDescent="0.25">
      <c r="A177" s="3"/>
      <c r="F177" s="135" t="s">
        <v>354</v>
      </c>
      <c r="G177" s="140">
        <v>0.45</v>
      </c>
      <c r="H177" s="87" t="s">
        <v>777</v>
      </c>
      <c r="I177" s="136">
        <v>1</v>
      </c>
    </row>
    <row r="178" spans="1:9" ht="15" customHeight="1" x14ac:dyDescent="0.25">
      <c r="A178" s="3"/>
      <c r="F178" s="135" t="s">
        <v>340</v>
      </c>
      <c r="G178" s="140" t="s">
        <v>858</v>
      </c>
      <c r="H178" s="87" t="s">
        <v>16</v>
      </c>
      <c r="I178" s="136">
        <v>3</v>
      </c>
    </row>
    <row r="179" spans="1:9" ht="15" customHeight="1" x14ac:dyDescent="0.25">
      <c r="A179" s="3"/>
      <c r="F179" s="135" t="s">
        <v>340</v>
      </c>
      <c r="G179" s="140">
        <v>0.28000000000000003</v>
      </c>
      <c r="H179" s="87" t="s">
        <v>777</v>
      </c>
      <c r="I179" s="136">
        <v>4</v>
      </c>
    </row>
    <row r="180" spans="1:9" ht="15" customHeight="1" x14ac:dyDescent="0.25">
      <c r="A180" s="3"/>
      <c r="F180" s="135" t="s">
        <v>340</v>
      </c>
      <c r="G180" s="140">
        <v>0.23</v>
      </c>
      <c r="H180" s="87" t="s">
        <v>17</v>
      </c>
      <c r="I180" s="136">
        <v>5</v>
      </c>
    </row>
    <row r="181" spans="1:9" ht="15" customHeight="1" x14ac:dyDescent="0.25">
      <c r="A181" s="3"/>
      <c r="F181" s="135" t="s">
        <v>859</v>
      </c>
      <c r="G181" s="140">
        <v>0.56999999999999995</v>
      </c>
      <c r="H181" s="87" t="s">
        <v>777</v>
      </c>
      <c r="I181" s="136">
        <v>1</v>
      </c>
    </row>
    <row r="182" spans="1:9" ht="15" customHeight="1" x14ac:dyDescent="0.25">
      <c r="A182" s="3"/>
      <c r="F182" s="135" t="s">
        <v>375</v>
      </c>
      <c r="G182" s="140">
        <v>0.49</v>
      </c>
      <c r="H182" s="87" t="s">
        <v>17</v>
      </c>
      <c r="I182" s="136">
        <v>5</v>
      </c>
    </row>
    <row r="183" spans="1:9" ht="15" customHeight="1" x14ac:dyDescent="0.25">
      <c r="A183" s="3"/>
      <c r="F183" s="135" t="s">
        <v>860</v>
      </c>
      <c r="G183" s="140">
        <v>0.59</v>
      </c>
      <c r="H183" s="87" t="s">
        <v>777</v>
      </c>
      <c r="I183" s="136">
        <v>1</v>
      </c>
    </row>
    <row r="184" spans="1:9" ht="15" customHeight="1" x14ac:dyDescent="0.25">
      <c r="A184" s="3"/>
      <c r="F184" s="135" t="s">
        <v>861</v>
      </c>
      <c r="G184" s="140">
        <v>0.59</v>
      </c>
      <c r="H184" s="87" t="s">
        <v>16</v>
      </c>
      <c r="I184" s="136">
        <v>5</v>
      </c>
    </row>
    <row r="185" spans="1:9" ht="15" customHeight="1" x14ac:dyDescent="0.25">
      <c r="A185" s="3"/>
      <c r="F185" s="135" t="s">
        <v>862</v>
      </c>
      <c r="G185" s="140">
        <v>0.65</v>
      </c>
      <c r="H185" s="87" t="s">
        <v>777</v>
      </c>
      <c r="I185" s="136">
        <v>5</v>
      </c>
    </row>
    <row r="186" spans="1:9" ht="15" customHeight="1" x14ac:dyDescent="0.25">
      <c r="A186" s="3"/>
      <c r="F186" s="135" t="s">
        <v>359</v>
      </c>
      <c r="G186" s="140">
        <v>0.63</v>
      </c>
      <c r="H186" s="87" t="s">
        <v>777</v>
      </c>
      <c r="I186" s="136">
        <v>5</v>
      </c>
    </row>
    <row r="187" spans="1:9" ht="15" customHeight="1" x14ac:dyDescent="0.25">
      <c r="A187" s="3"/>
      <c r="F187" s="135" t="s">
        <v>863</v>
      </c>
      <c r="G187" s="140">
        <v>0.54</v>
      </c>
      <c r="H187" s="87" t="s">
        <v>777</v>
      </c>
      <c r="I187" s="136">
        <v>1</v>
      </c>
    </row>
    <row r="188" spans="1:9" ht="15" customHeight="1" x14ac:dyDescent="0.25">
      <c r="A188" s="3"/>
      <c r="F188" s="135" t="s">
        <v>361</v>
      </c>
      <c r="G188" s="140">
        <v>0.8</v>
      </c>
      <c r="H188" s="87" t="s">
        <v>777</v>
      </c>
      <c r="I188" s="136">
        <v>5</v>
      </c>
    </row>
    <row r="189" spans="1:9" ht="15" customHeight="1" x14ac:dyDescent="0.25">
      <c r="A189" s="3"/>
      <c r="F189" s="135" t="s">
        <v>377</v>
      </c>
      <c r="G189" s="140">
        <v>0.52</v>
      </c>
      <c r="H189" s="87" t="s">
        <v>17</v>
      </c>
      <c r="I189" s="136">
        <v>5</v>
      </c>
    </row>
    <row r="190" spans="1:9" ht="15" customHeight="1" x14ac:dyDescent="0.25">
      <c r="A190" s="3"/>
      <c r="F190" s="135" t="s">
        <v>864</v>
      </c>
      <c r="G190" s="140" t="s">
        <v>865</v>
      </c>
      <c r="H190" s="87" t="s">
        <v>16</v>
      </c>
      <c r="I190" s="136">
        <v>3</v>
      </c>
    </row>
    <row r="191" spans="1:9" ht="15" customHeight="1" x14ac:dyDescent="0.25">
      <c r="A191" s="3"/>
      <c r="F191" s="135" t="s">
        <v>364</v>
      </c>
      <c r="G191" s="140">
        <v>0.73</v>
      </c>
      <c r="H191" s="87" t="s">
        <v>777</v>
      </c>
      <c r="I191" s="136">
        <v>4</v>
      </c>
    </row>
    <row r="192" spans="1:9" ht="15" customHeight="1" x14ac:dyDescent="0.25">
      <c r="A192" s="3"/>
      <c r="F192" s="135" t="s">
        <v>379</v>
      </c>
      <c r="G192" s="140" t="s">
        <v>866</v>
      </c>
      <c r="H192" s="87" t="s">
        <v>17</v>
      </c>
      <c r="I192" s="136">
        <v>5</v>
      </c>
    </row>
    <row r="193" spans="1:9" ht="15" customHeight="1" x14ac:dyDescent="0.25">
      <c r="A193" s="3"/>
      <c r="F193" s="135" t="s">
        <v>867</v>
      </c>
      <c r="G193" s="140">
        <v>0.28000000000000003</v>
      </c>
      <c r="H193" s="87" t="s">
        <v>777</v>
      </c>
      <c r="I193" s="136">
        <v>1</v>
      </c>
    </row>
    <row r="194" spans="1:9" ht="15" customHeight="1" x14ac:dyDescent="0.25">
      <c r="A194" s="3"/>
      <c r="F194" s="135" t="s">
        <v>345</v>
      </c>
      <c r="G194" s="140">
        <v>0.56000000000000005</v>
      </c>
      <c r="H194" s="87" t="s">
        <v>16</v>
      </c>
      <c r="I194" s="136">
        <v>5</v>
      </c>
    </row>
    <row r="195" spans="1:9" ht="15" customHeight="1" x14ac:dyDescent="0.25">
      <c r="A195" s="3"/>
      <c r="F195" s="135" t="s">
        <v>381</v>
      </c>
      <c r="G195" s="140">
        <v>0.56999999999999995</v>
      </c>
      <c r="H195" s="87" t="s">
        <v>17</v>
      </c>
      <c r="I195" s="136">
        <v>5</v>
      </c>
    </row>
    <row r="196" spans="1:9" ht="15" customHeight="1" x14ac:dyDescent="0.25">
      <c r="A196" s="3"/>
      <c r="F196" s="135" t="s">
        <v>383</v>
      </c>
      <c r="G196" s="140">
        <v>0.59</v>
      </c>
      <c r="H196" s="87" t="s">
        <v>17</v>
      </c>
      <c r="I196" s="136">
        <v>5</v>
      </c>
    </row>
    <row r="197" spans="1:9" ht="15" customHeight="1" x14ac:dyDescent="0.25">
      <c r="A197" s="3"/>
      <c r="F197" s="135" t="s">
        <v>367</v>
      </c>
      <c r="G197" s="140">
        <v>0.59</v>
      </c>
      <c r="H197" s="87" t="s">
        <v>777</v>
      </c>
      <c r="I197" s="136">
        <v>4</v>
      </c>
    </row>
    <row r="198" spans="1:9" ht="15" customHeight="1" x14ac:dyDescent="0.25">
      <c r="A198" s="3"/>
      <c r="F198" s="135" t="s">
        <v>385</v>
      </c>
      <c r="G198" s="140">
        <v>0.5</v>
      </c>
      <c r="H198" s="87" t="s">
        <v>17</v>
      </c>
      <c r="I198" s="136">
        <v>5</v>
      </c>
    </row>
    <row r="199" spans="1:9" ht="15" customHeight="1" x14ac:dyDescent="0.25">
      <c r="A199" s="3"/>
      <c r="F199" s="135" t="s">
        <v>388</v>
      </c>
      <c r="G199" s="140">
        <v>0.88</v>
      </c>
      <c r="H199" s="87" t="s">
        <v>17</v>
      </c>
      <c r="I199" s="136">
        <v>5</v>
      </c>
    </row>
    <row r="200" spans="1:9" ht="15" customHeight="1" x14ac:dyDescent="0.25">
      <c r="A200" s="3"/>
      <c r="F200" s="135" t="s">
        <v>347</v>
      </c>
      <c r="G200" s="140">
        <v>0.87</v>
      </c>
      <c r="H200" s="87" t="s">
        <v>16</v>
      </c>
      <c r="I200" s="136">
        <v>5</v>
      </c>
    </row>
    <row r="201" spans="1:9" ht="15" customHeight="1" x14ac:dyDescent="0.25">
      <c r="A201" s="3"/>
      <c r="F201" s="135" t="s">
        <v>868</v>
      </c>
      <c r="G201" s="140">
        <v>0.76</v>
      </c>
      <c r="H201" s="87" t="s">
        <v>17</v>
      </c>
      <c r="I201" s="136">
        <v>5</v>
      </c>
    </row>
    <row r="202" spans="1:9" ht="15" customHeight="1" x14ac:dyDescent="0.25">
      <c r="A202" s="3"/>
      <c r="F202" s="135" t="s">
        <v>349</v>
      </c>
      <c r="G202" s="140">
        <v>0.36</v>
      </c>
      <c r="H202" s="87" t="s">
        <v>16</v>
      </c>
      <c r="I202" s="136">
        <v>5</v>
      </c>
    </row>
    <row r="203" spans="1:9" ht="15" customHeight="1" x14ac:dyDescent="0.25">
      <c r="A203" s="3"/>
      <c r="F203" s="135" t="s">
        <v>369</v>
      </c>
      <c r="G203" s="140">
        <v>0.67</v>
      </c>
      <c r="H203" s="87" t="s">
        <v>777</v>
      </c>
      <c r="I203" s="136">
        <v>5</v>
      </c>
    </row>
    <row r="204" spans="1:9" ht="15" customHeight="1" x14ac:dyDescent="0.25">
      <c r="A204" s="3"/>
      <c r="F204" s="135" t="s">
        <v>869</v>
      </c>
      <c r="G204" s="140">
        <v>0.27</v>
      </c>
      <c r="H204" s="87" t="s">
        <v>17</v>
      </c>
      <c r="I204" s="136">
        <v>5</v>
      </c>
    </row>
    <row r="205" spans="1:9" ht="15" customHeight="1" x14ac:dyDescent="0.25">
      <c r="A205" s="3"/>
      <c r="F205" s="135" t="s">
        <v>371</v>
      </c>
      <c r="G205" s="140">
        <v>0.26</v>
      </c>
      <c r="H205" s="87" t="s">
        <v>777</v>
      </c>
      <c r="I205" s="136">
        <v>5</v>
      </c>
    </row>
    <row r="206" spans="1:9" ht="15" customHeight="1" x14ac:dyDescent="0.25">
      <c r="A206" s="3"/>
      <c r="F206" s="135" t="s">
        <v>395</v>
      </c>
      <c r="G206" s="140">
        <v>0.5</v>
      </c>
      <c r="H206" s="87" t="s">
        <v>17</v>
      </c>
      <c r="I206" s="136">
        <v>5</v>
      </c>
    </row>
    <row r="207" spans="1:9" ht="15" customHeight="1" x14ac:dyDescent="0.25">
      <c r="A207" s="3"/>
      <c r="F207" s="135" t="s">
        <v>368</v>
      </c>
      <c r="G207" s="140">
        <v>0.78</v>
      </c>
      <c r="H207" s="87" t="s">
        <v>16</v>
      </c>
      <c r="I207" s="136">
        <v>5</v>
      </c>
    </row>
    <row r="208" spans="1:9" ht="15" customHeight="1" x14ac:dyDescent="0.25">
      <c r="A208" s="3"/>
      <c r="F208" s="135" t="s">
        <v>351</v>
      </c>
      <c r="G208" s="140">
        <v>0.56000000000000005</v>
      </c>
      <c r="H208" s="87" t="s">
        <v>16</v>
      </c>
      <c r="I208" s="136">
        <v>5</v>
      </c>
    </row>
    <row r="209" spans="1:9" ht="15" customHeight="1" x14ac:dyDescent="0.25">
      <c r="A209" s="3"/>
      <c r="F209" s="135" t="s">
        <v>352</v>
      </c>
      <c r="G209" s="140">
        <v>0.7</v>
      </c>
      <c r="H209" s="87" t="s">
        <v>16</v>
      </c>
      <c r="I209" s="136">
        <v>5</v>
      </c>
    </row>
    <row r="210" spans="1:9" ht="15" customHeight="1" x14ac:dyDescent="0.25">
      <c r="A210" s="3"/>
      <c r="F210" s="135" t="s">
        <v>397</v>
      </c>
      <c r="G210" s="140">
        <v>0.33</v>
      </c>
      <c r="H210" s="87" t="s">
        <v>17</v>
      </c>
      <c r="I210" s="136">
        <v>5</v>
      </c>
    </row>
    <row r="211" spans="1:9" ht="15" customHeight="1" x14ac:dyDescent="0.25">
      <c r="A211" s="3"/>
      <c r="F211" s="135" t="s">
        <v>400</v>
      </c>
      <c r="G211" s="140">
        <v>0.56999999999999995</v>
      </c>
      <c r="H211" s="87" t="s">
        <v>17</v>
      </c>
      <c r="I211" s="136">
        <v>5</v>
      </c>
    </row>
    <row r="212" spans="1:9" ht="15" customHeight="1" x14ac:dyDescent="0.25">
      <c r="A212" s="3"/>
      <c r="F212" s="135" t="s">
        <v>356</v>
      </c>
      <c r="G212" s="140">
        <v>0.5</v>
      </c>
      <c r="H212" s="87" t="s">
        <v>16</v>
      </c>
      <c r="I212" s="136">
        <v>5</v>
      </c>
    </row>
    <row r="213" spans="1:9" ht="15" customHeight="1" x14ac:dyDescent="0.25">
      <c r="A213" s="3"/>
      <c r="F213" s="135" t="s">
        <v>870</v>
      </c>
      <c r="G213" s="140">
        <v>0.61</v>
      </c>
      <c r="H213" s="87" t="s">
        <v>777</v>
      </c>
      <c r="I213" s="136">
        <v>1</v>
      </c>
    </row>
    <row r="214" spans="1:9" ht="15" customHeight="1" x14ac:dyDescent="0.25">
      <c r="A214" s="3"/>
      <c r="F214" s="135" t="s">
        <v>871</v>
      </c>
      <c r="G214" s="140">
        <v>0.56000000000000005</v>
      </c>
      <c r="H214" s="87" t="s">
        <v>777</v>
      </c>
      <c r="I214" s="136">
        <v>1</v>
      </c>
    </row>
    <row r="215" spans="1:9" ht="15" customHeight="1" x14ac:dyDescent="0.25">
      <c r="A215" s="3"/>
      <c r="F215" s="135" t="s">
        <v>872</v>
      </c>
      <c r="G215" s="140">
        <v>0.5</v>
      </c>
      <c r="H215" s="87" t="s">
        <v>16</v>
      </c>
      <c r="I215" s="136">
        <v>5</v>
      </c>
    </row>
    <row r="216" spans="1:9" ht="15" customHeight="1" x14ac:dyDescent="0.25">
      <c r="A216" s="3"/>
      <c r="F216" s="135" t="s">
        <v>873</v>
      </c>
      <c r="G216" s="140">
        <v>0.63</v>
      </c>
      <c r="H216" s="87" t="s">
        <v>777</v>
      </c>
      <c r="I216" s="136">
        <v>4</v>
      </c>
    </row>
    <row r="217" spans="1:9" ht="15" customHeight="1" x14ac:dyDescent="0.25">
      <c r="A217" s="3"/>
      <c r="F217" s="135" t="s">
        <v>874</v>
      </c>
      <c r="G217" s="140">
        <v>0.48</v>
      </c>
      <c r="H217" s="87" t="s">
        <v>777</v>
      </c>
      <c r="I217" s="136">
        <v>5</v>
      </c>
    </row>
    <row r="218" spans="1:9" ht="15" customHeight="1" x14ac:dyDescent="0.25">
      <c r="A218" s="3"/>
      <c r="F218" s="135" t="s">
        <v>875</v>
      </c>
      <c r="G218" s="140">
        <v>0.49</v>
      </c>
      <c r="H218" s="87" t="s">
        <v>777</v>
      </c>
      <c r="I218" s="136">
        <v>4</v>
      </c>
    </row>
    <row r="219" spans="1:9" ht="15" customHeight="1" x14ac:dyDescent="0.25">
      <c r="A219" s="3"/>
      <c r="F219" s="135" t="s">
        <v>876</v>
      </c>
      <c r="G219" s="140">
        <v>0.74</v>
      </c>
      <c r="H219" s="87" t="s">
        <v>777</v>
      </c>
      <c r="I219" s="136">
        <v>5</v>
      </c>
    </row>
    <row r="220" spans="1:9" ht="15" customHeight="1" x14ac:dyDescent="0.25">
      <c r="A220" s="3"/>
      <c r="F220" s="135" t="s">
        <v>877</v>
      </c>
      <c r="G220" s="140">
        <v>0.48</v>
      </c>
      <c r="H220" s="87" t="s">
        <v>777</v>
      </c>
      <c r="I220" s="136">
        <v>4</v>
      </c>
    </row>
    <row r="221" spans="1:9" ht="15" customHeight="1" x14ac:dyDescent="0.25">
      <c r="A221" s="3"/>
      <c r="F221" s="135" t="s">
        <v>360</v>
      </c>
      <c r="G221" s="140">
        <v>0.34</v>
      </c>
      <c r="H221" s="87" t="s">
        <v>16</v>
      </c>
      <c r="I221" s="136">
        <v>5</v>
      </c>
    </row>
    <row r="222" spans="1:9" ht="15" customHeight="1" x14ac:dyDescent="0.25">
      <c r="A222" s="3"/>
      <c r="F222" s="135" t="s">
        <v>362</v>
      </c>
      <c r="G222" s="140">
        <v>0.36</v>
      </c>
      <c r="H222" s="87" t="s">
        <v>16</v>
      </c>
      <c r="I222" s="136">
        <v>5</v>
      </c>
    </row>
    <row r="223" spans="1:9" ht="15" customHeight="1" x14ac:dyDescent="0.25">
      <c r="A223" s="3"/>
      <c r="F223" s="135" t="s">
        <v>878</v>
      </c>
      <c r="G223" s="140">
        <v>0.5</v>
      </c>
      <c r="H223" s="87" t="s">
        <v>777</v>
      </c>
      <c r="I223" s="136">
        <v>4</v>
      </c>
    </row>
    <row r="224" spans="1:9" ht="15" customHeight="1" x14ac:dyDescent="0.25">
      <c r="A224" s="3"/>
      <c r="F224" s="135" t="s">
        <v>879</v>
      </c>
      <c r="G224" s="140">
        <v>0.53</v>
      </c>
      <c r="H224" s="87" t="s">
        <v>17</v>
      </c>
      <c r="I224" s="136">
        <v>5</v>
      </c>
    </row>
    <row r="225" spans="1:9" ht="15" customHeight="1" x14ac:dyDescent="0.25">
      <c r="A225" s="3"/>
      <c r="F225" s="135" t="s">
        <v>365</v>
      </c>
      <c r="G225" s="140">
        <v>0.63</v>
      </c>
      <c r="H225" s="87" t="s">
        <v>16</v>
      </c>
      <c r="I225" s="136">
        <v>5</v>
      </c>
    </row>
    <row r="226" spans="1:9" ht="15" customHeight="1" x14ac:dyDescent="0.25">
      <c r="A226" s="3"/>
      <c r="F226" s="135" t="s">
        <v>880</v>
      </c>
      <c r="G226" s="140">
        <v>0.84</v>
      </c>
      <c r="H226" s="87" t="s">
        <v>777</v>
      </c>
      <c r="I226" s="136">
        <v>4</v>
      </c>
    </row>
    <row r="227" spans="1:9" ht="15" customHeight="1" x14ac:dyDescent="0.25">
      <c r="A227" s="3"/>
      <c r="F227" s="135" t="s">
        <v>881</v>
      </c>
      <c r="G227" s="140">
        <v>0.69</v>
      </c>
      <c r="H227" s="87" t="s">
        <v>17</v>
      </c>
      <c r="I227" s="136">
        <v>5</v>
      </c>
    </row>
    <row r="228" spans="1:9" ht="15" customHeight="1" x14ac:dyDescent="0.25">
      <c r="A228" s="3"/>
      <c r="F228" s="135" t="s">
        <v>380</v>
      </c>
      <c r="G228" s="140">
        <v>0.7</v>
      </c>
      <c r="H228" s="87" t="s">
        <v>777</v>
      </c>
      <c r="I228" s="136">
        <v>5</v>
      </c>
    </row>
    <row r="229" spans="1:9" ht="15" customHeight="1" x14ac:dyDescent="0.25">
      <c r="A229" s="3"/>
      <c r="F229" s="135" t="s">
        <v>382</v>
      </c>
      <c r="G229" s="140">
        <v>0.5</v>
      </c>
      <c r="H229" s="87" t="s">
        <v>777</v>
      </c>
      <c r="I229" s="136">
        <v>4</v>
      </c>
    </row>
    <row r="230" spans="1:9" ht="15" customHeight="1" x14ac:dyDescent="0.25">
      <c r="A230" s="3"/>
      <c r="F230" s="135" t="s">
        <v>882</v>
      </c>
      <c r="G230" s="140">
        <v>0.54</v>
      </c>
      <c r="H230" s="87" t="s">
        <v>777</v>
      </c>
      <c r="I230" s="136">
        <v>4</v>
      </c>
    </row>
    <row r="231" spans="1:9" ht="15" customHeight="1" x14ac:dyDescent="0.25">
      <c r="A231" s="3"/>
      <c r="F231" s="135" t="s">
        <v>883</v>
      </c>
      <c r="G231" s="140">
        <v>0.47</v>
      </c>
      <c r="H231" s="87" t="s">
        <v>777</v>
      </c>
      <c r="I231" s="136">
        <v>4</v>
      </c>
    </row>
    <row r="232" spans="1:9" ht="15" customHeight="1" x14ac:dyDescent="0.25">
      <c r="A232" s="3"/>
      <c r="F232" s="135" t="s">
        <v>884</v>
      </c>
      <c r="G232" s="140">
        <v>0.49</v>
      </c>
      <c r="H232" s="87" t="s">
        <v>777</v>
      </c>
      <c r="I232" s="136">
        <v>4</v>
      </c>
    </row>
    <row r="233" spans="1:9" ht="15" customHeight="1" x14ac:dyDescent="0.25">
      <c r="A233" s="3"/>
      <c r="F233" s="135" t="s">
        <v>885</v>
      </c>
      <c r="G233" s="140">
        <v>0.63</v>
      </c>
      <c r="H233" s="87" t="s">
        <v>777</v>
      </c>
      <c r="I233" s="136">
        <v>4</v>
      </c>
    </row>
    <row r="234" spans="1:9" ht="15" customHeight="1" x14ac:dyDescent="0.25">
      <c r="A234" s="3"/>
      <c r="F234" s="135" t="s">
        <v>406</v>
      </c>
      <c r="G234" s="140">
        <v>0.53</v>
      </c>
      <c r="H234" s="87" t="s">
        <v>17</v>
      </c>
      <c r="I234" s="136">
        <v>5</v>
      </c>
    </row>
    <row r="235" spans="1:9" ht="15" customHeight="1" x14ac:dyDescent="0.25">
      <c r="A235" s="3"/>
      <c r="F235" s="135" t="s">
        <v>408</v>
      </c>
      <c r="G235" s="140">
        <v>0.4</v>
      </c>
      <c r="H235" s="87" t="s">
        <v>17</v>
      </c>
      <c r="I235" s="136">
        <v>5</v>
      </c>
    </row>
    <row r="236" spans="1:9" ht="15" customHeight="1" x14ac:dyDescent="0.25">
      <c r="A236" s="3"/>
      <c r="F236" s="135" t="s">
        <v>370</v>
      </c>
      <c r="G236" s="140">
        <v>0.56999999999999995</v>
      </c>
      <c r="H236" s="87" t="s">
        <v>16</v>
      </c>
      <c r="I236" s="136">
        <v>5</v>
      </c>
    </row>
    <row r="237" spans="1:9" ht="15" customHeight="1" x14ac:dyDescent="0.25">
      <c r="A237" s="3"/>
      <c r="F237" s="135" t="s">
        <v>386</v>
      </c>
      <c r="G237" s="140">
        <v>0.48</v>
      </c>
      <c r="H237" s="87" t="s">
        <v>777</v>
      </c>
      <c r="I237" s="136">
        <v>5</v>
      </c>
    </row>
    <row r="238" spans="1:9" ht="15" customHeight="1" x14ac:dyDescent="0.25">
      <c r="A238" s="3"/>
      <c r="F238" s="135" t="s">
        <v>886</v>
      </c>
      <c r="G238" s="140">
        <v>0.59</v>
      </c>
      <c r="H238" s="87" t="s">
        <v>17</v>
      </c>
      <c r="I238" s="136">
        <v>5</v>
      </c>
    </row>
    <row r="239" spans="1:9" ht="15" customHeight="1" x14ac:dyDescent="0.25">
      <c r="A239" s="3"/>
      <c r="F239" s="135" t="s">
        <v>373</v>
      </c>
      <c r="G239" s="140">
        <v>0.7</v>
      </c>
      <c r="H239" s="87" t="s">
        <v>16</v>
      </c>
      <c r="I239" s="136">
        <v>5</v>
      </c>
    </row>
    <row r="240" spans="1:9" ht="31.5" customHeight="1" x14ac:dyDescent="0.25">
      <c r="A240" s="3"/>
      <c r="F240" s="135" t="s">
        <v>374</v>
      </c>
      <c r="G240" s="140">
        <v>0.78</v>
      </c>
      <c r="H240" s="87" t="s">
        <v>16</v>
      </c>
      <c r="I240" s="136">
        <v>5</v>
      </c>
    </row>
    <row r="241" spans="1:24" ht="15" customHeight="1" x14ac:dyDescent="0.25">
      <c r="A241" s="3"/>
      <c r="F241" s="135" t="s">
        <v>413</v>
      </c>
      <c r="G241" s="140">
        <v>0.49</v>
      </c>
      <c r="H241" s="87" t="s">
        <v>17</v>
      </c>
      <c r="I241" s="136">
        <v>5</v>
      </c>
    </row>
    <row r="242" spans="1:24" ht="15" customHeight="1" x14ac:dyDescent="0.25">
      <c r="A242" s="3"/>
      <c r="F242" s="135" t="s">
        <v>416</v>
      </c>
      <c r="G242" s="140">
        <v>0.53</v>
      </c>
      <c r="H242" s="87" t="s">
        <v>17</v>
      </c>
      <c r="I242" s="136">
        <v>5</v>
      </c>
    </row>
    <row r="243" spans="1:24" ht="15" customHeight="1" x14ac:dyDescent="0.25">
      <c r="A243" s="3"/>
      <c r="F243" s="135" t="s">
        <v>389</v>
      </c>
      <c r="G243" s="140" t="s">
        <v>887</v>
      </c>
      <c r="H243" s="87" t="s">
        <v>777</v>
      </c>
      <c r="I243" s="136">
        <v>5</v>
      </c>
    </row>
    <row r="244" spans="1:24" ht="15" customHeight="1" x14ac:dyDescent="0.25">
      <c r="A244" s="3"/>
      <c r="F244" s="135" t="s">
        <v>888</v>
      </c>
      <c r="G244" s="140">
        <v>0.41</v>
      </c>
      <c r="H244" s="87" t="s">
        <v>777</v>
      </c>
      <c r="I244" s="136">
        <v>2</v>
      </c>
      <c r="X244" s="128"/>
    </row>
    <row r="245" spans="1:24" ht="15" customHeight="1" x14ac:dyDescent="0.25">
      <c r="A245" s="3"/>
      <c r="F245" s="135" t="s">
        <v>376</v>
      </c>
      <c r="G245" s="140">
        <v>0.8</v>
      </c>
      <c r="H245" s="87" t="s">
        <v>16</v>
      </c>
      <c r="I245" s="136">
        <v>5</v>
      </c>
    </row>
    <row r="246" spans="1:24" ht="15" customHeight="1" x14ac:dyDescent="0.25">
      <c r="A246" s="3"/>
      <c r="F246" s="135" t="s">
        <v>378</v>
      </c>
      <c r="G246" s="140">
        <v>0.74</v>
      </c>
      <c r="H246" s="87" t="s">
        <v>16</v>
      </c>
      <c r="I246" s="136">
        <v>5</v>
      </c>
    </row>
    <row r="247" spans="1:24" ht="15" customHeight="1" x14ac:dyDescent="0.25">
      <c r="A247" s="3"/>
      <c r="F247" s="135" t="s">
        <v>889</v>
      </c>
      <c r="G247" s="140">
        <v>0.8</v>
      </c>
      <c r="H247" s="87" t="s">
        <v>17</v>
      </c>
      <c r="I247" s="136">
        <v>5</v>
      </c>
    </row>
    <row r="248" spans="1:24" ht="15" customHeight="1" x14ac:dyDescent="0.25">
      <c r="A248" s="3"/>
      <c r="F248" s="135" t="s">
        <v>391</v>
      </c>
      <c r="G248" s="140">
        <v>0.53</v>
      </c>
      <c r="H248" s="87" t="s">
        <v>777</v>
      </c>
      <c r="I248" s="136">
        <v>5</v>
      </c>
    </row>
    <row r="249" spans="1:24" ht="15" customHeight="1" x14ac:dyDescent="0.25">
      <c r="A249" s="3"/>
      <c r="F249" s="135" t="s">
        <v>420</v>
      </c>
      <c r="G249" s="140" t="s">
        <v>890</v>
      </c>
      <c r="H249" s="87" t="s">
        <v>17</v>
      </c>
      <c r="I249" s="136">
        <v>5</v>
      </c>
    </row>
    <row r="250" spans="1:24" ht="15" customHeight="1" x14ac:dyDescent="0.25">
      <c r="A250" s="3"/>
      <c r="F250" s="135" t="s">
        <v>891</v>
      </c>
      <c r="G250" s="140">
        <v>0.46</v>
      </c>
      <c r="H250" s="87" t="s">
        <v>17</v>
      </c>
      <c r="I250" s="136">
        <v>5</v>
      </c>
    </row>
    <row r="251" spans="1:24" ht="15" customHeight="1" x14ac:dyDescent="0.25">
      <c r="A251" s="3"/>
      <c r="F251" s="135" t="s">
        <v>892</v>
      </c>
      <c r="G251" s="140" t="s">
        <v>893</v>
      </c>
      <c r="H251" s="87" t="s">
        <v>16</v>
      </c>
      <c r="I251" s="136">
        <v>3</v>
      </c>
    </row>
    <row r="252" spans="1:24" ht="15" customHeight="1" x14ac:dyDescent="0.25">
      <c r="A252" s="3"/>
      <c r="F252" s="135" t="s">
        <v>396</v>
      </c>
      <c r="G252" s="140" t="s">
        <v>894</v>
      </c>
      <c r="H252" s="87" t="s">
        <v>777</v>
      </c>
      <c r="I252" s="136">
        <v>5</v>
      </c>
    </row>
    <row r="253" spans="1:24" ht="15" customHeight="1" x14ac:dyDescent="0.25">
      <c r="A253" s="3"/>
      <c r="F253" s="135" t="s">
        <v>895</v>
      </c>
      <c r="G253" s="140">
        <v>0.61</v>
      </c>
      <c r="H253" s="87" t="s">
        <v>17</v>
      </c>
      <c r="I253" s="136">
        <v>5</v>
      </c>
    </row>
    <row r="254" spans="1:24" ht="15" customHeight="1" x14ac:dyDescent="0.25">
      <c r="A254" s="3"/>
      <c r="F254" s="135" t="s">
        <v>393</v>
      </c>
      <c r="G254" s="140">
        <v>0.51</v>
      </c>
      <c r="H254" s="87" t="s">
        <v>777</v>
      </c>
      <c r="I254" s="136">
        <v>5</v>
      </c>
    </row>
    <row r="255" spans="1:24" ht="15" customHeight="1" x14ac:dyDescent="0.25">
      <c r="A255" s="3"/>
      <c r="F255" s="135" t="s">
        <v>426</v>
      </c>
      <c r="G255" s="140">
        <v>0.64</v>
      </c>
      <c r="H255" s="87" t="s">
        <v>17</v>
      </c>
      <c r="I255" s="136">
        <v>5</v>
      </c>
    </row>
    <row r="256" spans="1:24" ht="15" customHeight="1" x14ac:dyDescent="0.25">
      <c r="A256" s="3"/>
      <c r="F256" s="135" t="s">
        <v>398</v>
      </c>
      <c r="G256" s="140">
        <v>0.89</v>
      </c>
      <c r="H256" s="87" t="s">
        <v>777</v>
      </c>
      <c r="I256" s="136">
        <v>5</v>
      </c>
    </row>
    <row r="257" spans="1:9" ht="15" customHeight="1" x14ac:dyDescent="0.25">
      <c r="A257" s="3"/>
      <c r="F257" s="135" t="s">
        <v>401</v>
      </c>
      <c r="G257" s="140">
        <v>0.82</v>
      </c>
      <c r="H257" s="87" t="s">
        <v>777</v>
      </c>
      <c r="I257" s="136">
        <v>5</v>
      </c>
    </row>
    <row r="258" spans="1:9" ht="15" customHeight="1" x14ac:dyDescent="0.25">
      <c r="A258" s="3"/>
      <c r="F258" s="135" t="s">
        <v>896</v>
      </c>
      <c r="G258" s="140">
        <v>0.53</v>
      </c>
      <c r="H258" s="87" t="s">
        <v>16</v>
      </c>
      <c r="I258" s="136">
        <v>3</v>
      </c>
    </row>
    <row r="259" spans="1:9" ht="15" customHeight="1" x14ac:dyDescent="0.25">
      <c r="A259" s="3"/>
      <c r="F259" s="135" t="s">
        <v>403</v>
      </c>
      <c r="G259" s="140">
        <v>0.47</v>
      </c>
      <c r="H259" s="87" t="s">
        <v>777</v>
      </c>
      <c r="I259" s="136">
        <v>5</v>
      </c>
    </row>
    <row r="260" spans="1:9" ht="15" customHeight="1" x14ac:dyDescent="0.25">
      <c r="A260" s="3"/>
      <c r="F260" s="135" t="s">
        <v>429</v>
      </c>
      <c r="G260" s="140">
        <v>0.37</v>
      </c>
      <c r="H260" s="87" t="s">
        <v>17</v>
      </c>
      <c r="I260" s="136">
        <v>5</v>
      </c>
    </row>
    <row r="261" spans="1:9" ht="15" customHeight="1" x14ac:dyDescent="0.25">
      <c r="A261" s="3"/>
      <c r="F261" s="135" t="s">
        <v>431</v>
      </c>
      <c r="G261" s="140">
        <v>0.35</v>
      </c>
      <c r="H261" s="87" t="s">
        <v>17</v>
      </c>
      <c r="I261" s="136">
        <v>5</v>
      </c>
    </row>
    <row r="262" spans="1:9" ht="15" customHeight="1" x14ac:dyDescent="0.25">
      <c r="A262" s="3"/>
      <c r="F262" s="135" t="s">
        <v>433</v>
      </c>
      <c r="G262" s="140">
        <v>0.64</v>
      </c>
      <c r="H262" s="87" t="s">
        <v>17</v>
      </c>
      <c r="I262" s="136">
        <v>5</v>
      </c>
    </row>
    <row r="263" spans="1:9" ht="15" customHeight="1" x14ac:dyDescent="0.25">
      <c r="A263" s="3"/>
      <c r="F263" s="135" t="s">
        <v>897</v>
      </c>
      <c r="G263" s="140">
        <v>0.4</v>
      </c>
      <c r="H263" s="87" t="s">
        <v>777</v>
      </c>
      <c r="I263" s="136">
        <v>4</v>
      </c>
    </row>
    <row r="264" spans="1:9" ht="15" customHeight="1" x14ac:dyDescent="0.25">
      <c r="A264" s="3"/>
      <c r="F264" s="135" t="s">
        <v>384</v>
      </c>
      <c r="G264" s="140">
        <v>0.87</v>
      </c>
      <c r="H264" s="87" t="s">
        <v>16</v>
      </c>
      <c r="I264" s="136">
        <v>5</v>
      </c>
    </row>
    <row r="265" spans="1:9" ht="15" customHeight="1" x14ac:dyDescent="0.25">
      <c r="A265" s="3"/>
      <c r="F265" s="135" t="s">
        <v>387</v>
      </c>
      <c r="G265" s="140">
        <v>0.63</v>
      </c>
      <c r="H265" s="87" t="s">
        <v>16</v>
      </c>
      <c r="I265" s="136">
        <v>5</v>
      </c>
    </row>
    <row r="266" spans="1:9" ht="15" customHeight="1" x14ac:dyDescent="0.25">
      <c r="A266" s="3"/>
      <c r="F266" s="135" t="s">
        <v>390</v>
      </c>
      <c r="G266" s="140">
        <v>0.78</v>
      </c>
      <c r="H266" s="87" t="s">
        <v>16</v>
      </c>
      <c r="I266" s="136">
        <v>5</v>
      </c>
    </row>
    <row r="267" spans="1:9" ht="15" customHeight="1" x14ac:dyDescent="0.25">
      <c r="A267" s="3"/>
      <c r="F267" s="135" t="s">
        <v>898</v>
      </c>
      <c r="G267" s="140">
        <v>0.88</v>
      </c>
      <c r="H267" s="87" t="s">
        <v>777</v>
      </c>
      <c r="I267" s="136">
        <v>4</v>
      </c>
    </row>
    <row r="268" spans="1:9" ht="15" customHeight="1" x14ac:dyDescent="0.25">
      <c r="A268" s="3"/>
      <c r="F268" s="135" t="s">
        <v>899</v>
      </c>
      <c r="G268" s="140">
        <v>0.8</v>
      </c>
      <c r="H268" s="87" t="s">
        <v>17</v>
      </c>
      <c r="I268" s="136">
        <v>5</v>
      </c>
    </row>
    <row r="269" spans="1:9" ht="15" customHeight="1" x14ac:dyDescent="0.25">
      <c r="A269" s="3"/>
      <c r="F269" s="135" t="s">
        <v>900</v>
      </c>
      <c r="G269" s="140" t="s">
        <v>901</v>
      </c>
      <c r="H269" s="87" t="s">
        <v>777</v>
      </c>
      <c r="I269" s="136">
        <v>5</v>
      </c>
    </row>
    <row r="270" spans="1:9" ht="15" customHeight="1" x14ac:dyDescent="0.25">
      <c r="A270" s="3"/>
      <c r="F270" s="135" t="s">
        <v>902</v>
      </c>
      <c r="G270" s="140">
        <v>0.47</v>
      </c>
      <c r="H270" s="87" t="s">
        <v>777</v>
      </c>
      <c r="I270" s="136">
        <v>4</v>
      </c>
    </row>
    <row r="271" spans="1:9" ht="15" customHeight="1" x14ac:dyDescent="0.25">
      <c r="A271" s="3"/>
      <c r="F271" s="135" t="s">
        <v>903</v>
      </c>
      <c r="G271" s="140">
        <v>0.65</v>
      </c>
      <c r="H271" s="87" t="s">
        <v>777</v>
      </c>
      <c r="I271" s="136">
        <v>4</v>
      </c>
    </row>
    <row r="272" spans="1:9" ht="15" customHeight="1" x14ac:dyDescent="0.25">
      <c r="A272" s="3"/>
      <c r="F272" s="135" t="s">
        <v>409</v>
      </c>
      <c r="G272" s="140">
        <v>0.6</v>
      </c>
      <c r="H272" s="87" t="s">
        <v>777</v>
      </c>
      <c r="I272" s="136">
        <v>5</v>
      </c>
    </row>
    <row r="273" spans="1:9" ht="15" customHeight="1" x14ac:dyDescent="0.25">
      <c r="A273" s="3"/>
      <c r="F273" s="135" t="s">
        <v>392</v>
      </c>
      <c r="G273" s="140">
        <v>0.78</v>
      </c>
      <c r="H273" s="87" t="s">
        <v>16</v>
      </c>
      <c r="I273" s="136">
        <v>5</v>
      </c>
    </row>
    <row r="274" spans="1:9" ht="15" customHeight="1" x14ac:dyDescent="0.25">
      <c r="A274" s="3"/>
      <c r="F274" s="135" t="s">
        <v>394</v>
      </c>
      <c r="G274" s="140">
        <v>0.5</v>
      </c>
      <c r="H274" s="87" t="s">
        <v>16</v>
      </c>
      <c r="I274" s="136">
        <v>5</v>
      </c>
    </row>
    <row r="275" spans="1:9" ht="15" customHeight="1" x14ac:dyDescent="0.25">
      <c r="A275" s="3"/>
      <c r="F275" s="135" t="s">
        <v>411</v>
      </c>
      <c r="G275" s="140">
        <v>0.74</v>
      </c>
      <c r="H275" s="87" t="s">
        <v>777</v>
      </c>
      <c r="I275" s="136">
        <v>5</v>
      </c>
    </row>
    <row r="276" spans="1:9" ht="15" customHeight="1" x14ac:dyDescent="0.25">
      <c r="A276" s="3"/>
      <c r="F276" s="135" t="s">
        <v>904</v>
      </c>
      <c r="G276" s="140">
        <v>0.59</v>
      </c>
      <c r="H276" s="87" t="s">
        <v>17</v>
      </c>
      <c r="I276" s="136">
        <v>5</v>
      </c>
    </row>
    <row r="277" spans="1:9" ht="15" customHeight="1" x14ac:dyDescent="0.25">
      <c r="A277" s="3"/>
      <c r="F277" s="135" t="s">
        <v>414</v>
      </c>
      <c r="G277" s="140">
        <v>0.99</v>
      </c>
      <c r="H277" s="87" t="s">
        <v>777</v>
      </c>
      <c r="I277" s="136">
        <v>5</v>
      </c>
    </row>
    <row r="278" spans="1:9" ht="15" customHeight="1" x14ac:dyDescent="0.25">
      <c r="A278" s="3"/>
      <c r="F278" s="135" t="s">
        <v>905</v>
      </c>
      <c r="G278" s="140">
        <v>0.86</v>
      </c>
      <c r="H278" s="87" t="s">
        <v>777</v>
      </c>
      <c r="I278" s="136">
        <v>4</v>
      </c>
    </row>
    <row r="279" spans="1:9" ht="15" customHeight="1" x14ac:dyDescent="0.25">
      <c r="A279" s="3"/>
      <c r="F279" s="135" t="s">
        <v>906</v>
      </c>
      <c r="G279" s="140">
        <v>0.82</v>
      </c>
      <c r="H279" s="87" t="s">
        <v>16</v>
      </c>
      <c r="I279" s="136">
        <v>5</v>
      </c>
    </row>
    <row r="280" spans="1:9" ht="15" customHeight="1" x14ac:dyDescent="0.25">
      <c r="A280" s="3"/>
      <c r="F280" s="135" t="s">
        <v>906</v>
      </c>
      <c r="G280" s="140">
        <v>0.47</v>
      </c>
      <c r="H280" s="87" t="s">
        <v>777</v>
      </c>
      <c r="I280" s="136">
        <v>1</v>
      </c>
    </row>
    <row r="281" spans="1:9" ht="15" customHeight="1" x14ac:dyDescent="0.25">
      <c r="A281" s="3"/>
      <c r="F281" s="135" t="s">
        <v>906</v>
      </c>
      <c r="G281" s="140">
        <v>0.7</v>
      </c>
      <c r="H281" s="87" t="s">
        <v>17</v>
      </c>
      <c r="I281" s="136">
        <v>5</v>
      </c>
    </row>
    <row r="282" spans="1:9" ht="15" customHeight="1" x14ac:dyDescent="0.25">
      <c r="A282" s="3"/>
      <c r="F282" s="135" t="s">
        <v>439</v>
      </c>
      <c r="G282" s="140">
        <v>0.63</v>
      </c>
      <c r="H282" s="87" t="s">
        <v>17</v>
      </c>
      <c r="I282" s="136">
        <v>5</v>
      </c>
    </row>
    <row r="283" spans="1:9" ht="15" customHeight="1" x14ac:dyDescent="0.25">
      <c r="A283" s="3"/>
      <c r="F283" s="135" t="s">
        <v>907</v>
      </c>
      <c r="G283" s="140">
        <v>0.85</v>
      </c>
      <c r="H283" s="87" t="s">
        <v>777</v>
      </c>
      <c r="I283" s="136">
        <v>4</v>
      </c>
    </row>
    <row r="284" spans="1:9" ht="15" customHeight="1" x14ac:dyDescent="0.25">
      <c r="A284" s="3"/>
      <c r="F284" s="135" t="s">
        <v>908</v>
      </c>
      <c r="G284" s="140">
        <v>0.74</v>
      </c>
      <c r="H284" s="87" t="s">
        <v>777</v>
      </c>
      <c r="I284" s="136">
        <v>1</v>
      </c>
    </row>
    <row r="285" spans="1:9" ht="15" customHeight="1" x14ac:dyDescent="0.25">
      <c r="A285" s="3"/>
      <c r="F285" s="135" t="s">
        <v>417</v>
      </c>
      <c r="G285" s="140">
        <v>0.78</v>
      </c>
      <c r="H285" s="87" t="s">
        <v>777</v>
      </c>
      <c r="I285" s="136">
        <v>4</v>
      </c>
    </row>
    <row r="286" spans="1:9" ht="15" customHeight="1" x14ac:dyDescent="0.25">
      <c r="A286" s="3"/>
      <c r="F286" s="135" t="s">
        <v>441</v>
      </c>
      <c r="G286" s="140">
        <v>0.61</v>
      </c>
      <c r="H286" s="87" t="s">
        <v>17</v>
      </c>
      <c r="I286" s="136">
        <v>5</v>
      </c>
    </row>
    <row r="287" spans="1:9" ht="15" customHeight="1" x14ac:dyDescent="0.25">
      <c r="A287" s="3"/>
      <c r="F287" s="135" t="s">
        <v>443</v>
      </c>
      <c r="G287" s="140">
        <v>0.56000000000000005</v>
      </c>
      <c r="H287" s="87" t="s">
        <v>17</v>
      </c>
      <c r="I287" s="136">
        <v>5</v>
      </c>
    </row>
    <row r="288" spans="1:9" ht="15" customHeight="1" x14ac:dyDescent="0.25">
      <c r="A288" s="3"/>
      <c r="F288" s="135" t="s">
        <v>447</v>
      </c>
      <c r="G288" s="140">
        <v>0.61</v>
      </c>
      <c r="H288" s="87" t="s">
        <v>17</v>
      </c>
      <c r="I288" s="136">
        <v>5</v>
      </c>
    </row>
    <row r="289" spans="1:9" ht="15" customHeight="1" x14ac:dyDescent="0.25">
      <c r="A289" s="3"/>
      <c r="F289" s="135" t="s">
        <v>448</v>
      </c>
      <c r="G289" s="140">
        <v>0.62</v>
      </c>
      <c r="H289" s="87" t="s">
        <v>17</v>
      </c>
      <c r="I289" s="136">
        <v>5</v>
      </c>
    </row>
    <row r="290" spans="1:9" ht="15" customHeight="1" x14ac:dyDescent="0.25">
      <c r="A290" s="3"/>
      <c r="F290" s="135" t="s">
        <v>450</v>
      </c>
      <c r="G290" s="140">
        <v>0.56000000000000005</v>
      </c>
      <c r="H290" s="87" t="s">
        <v>17</v>
      </c>
      <c r="I290" s="136">
        <v>5</v>
      </c>
    </row>
    <row r="291" spans="1:9" ht="15" customHeight="1" x14ac:dyDescent="0.25">
      <c r="A291" s="3"/>
      <c r="F291" s="135" t="s">
        <v>452</v>
      </c>
      <c r="G291" s="140">
        <v>0.56999999999999995</v>
      </c>
      <c r="H291" s="87" t="s">
        <v>17</v>
      </c>
      <c r="I291" s="136">
        <v>5</v>
      </c>
    </row>
    <row r="292" spans="1:9" ht="15" customHeight="1" x14ac:dyDescent="0.25">
      <c r="A292" s="3"/>
      <c r="F292" s="135" t="s">
        <v>909</v>
      </c>
      <c r="G292" s="140">
        <v>0.61</v>
      </c>
      <c r="H292" s="87" t="s">
        <v>17</v>
      </c>
      <c r="I292" s="136">
        <v>5</v>
      </c>
    </row>
    <row r="293" spans="1:9" ht="15" customHeight="1" x14ac:dyDescent="0.25">
      <c r="A293" s="3"/>
      <c r="F293" s="135" t="s">
        <v>455</v>
      </c>
      <c r="G293" s="140">
        <v>0.52</v>
      </c>
      <c r="H293" s="87" t="s">
        <v>17</v>
      </c>
      <c r="I293" s="136">
        <v>5</v>
      </c>
    </row>
    <row r="294" spans="1:9" ht="15" customHeight="1" x14ac:dyDescent="0.25">
      <c r="A294" s="3"/>
      <c r="F294" s="135" t="s">
        <v>910</v>
      </c>
      <c r="G294" s="140">
        <v>0.93</v>
      </c>
      <c r="H294" s="87" t="s">
        <v>777</v>
      </c>
      <c r="I294" s="136">
        <v>4</v>
      </c>
    </row>
    <row r="295" spans="1:9" ht="15" customHeight="1" x14ac:dyDescent="0.25">
      <c r="A295" s="3"/>
      <c r="F295" s="135" t="s">
        <v>911</v>
      </c>
      <c r="G295" s="140">
        <v>0.87</v>
      </c>
      <c r="H295" s="87" t="s">
        <v>777</v>
      </c>
      <c r="I295" s="136">
        <v>4</v>
      </c>
    </row>
    <row r="296" spans="1:9" ht="15" customHeight="1" x14ac:dyDescent="0.25">
      <c r="A296" s="3"/>
      <c r="F296" s="135" t="s">
        <v>399</v>
      </c>
      <c r="G296" s="140">
        <v>0.32</v>
      </c>
      <c r="H296" s="87" t="s">
        <v>16</v>
      </c>
      <c r="I296" s="136">
        <v>5</v>
      </c>
    </row>
    <row r="297" spans="1:9" ht="15" customHeight="1" x14ac:dyDescent="0.25">
      <c r="A297" s="3"/>
      <c r="F297" s="135" t="s">
        <v>402</v>
      </c>
      <c r="G297" s="140">
        <v>0.57999999999999996</v>
      </c>
      <c r="H297" s="87" t="s">
        <v>16</v>
      </c>
      <c r="I297" s="136">
        <v>5</v>
      </c>
    </row>
    <row r="298" spans="1:9" ht="15" customHeight="1" x14ac:dyDescent="0.25">
      <c r="A298" s="3"/>
      <c r="F298" s="135" t="s">
        <v>912</v>
      </c>
      <c r="G298" s="140">
        <v>0.5</v>
      </c>
      <c r="H298" s="87" t="s">
        <v>17</v>
      </c>
      <c r="I298" s="136">
        <v>5</v>
      </c>
    </row>
    <row r="299" spans="1:9" ht="15" customHeight="1" x14ac:dyDescent="0.25">
      <c r="A299" s="3"/>
      <c r="F299" s="135" t="s">
        <v>913</v>
      </c>
      <c r="G299" s="140">
        <v>0.61</v>
      </c>
      <c r="H299" s="87" t="s">
        <v>17</v>
      </c>
      <c r="I299" s="136">
        <v>5</v>
      </c>
    </row>
    <row r="300" spans="1:9" ht="15" customHeight="1" x14ac:dyDescent="0.25">
      <c r="A300" s="3"/>
      <c r="F300" s="135" t="s">
        <v>404</v>
      </c>
      <c r="G300" s="140">
        <v>0.63</v>
      </c>
      <c r="H300" s="87" t="s">
        <v>16</v>
      </c>
      <c r="I300" s="136">
        <v>5</v>
      </c>
    </row>
    <row r="301" spans="1:9" ht="15" customHeight="1" x14ac:dyDescent="0.25">
      <c r="A301" s="3"/>
      <c r="F301" s="135" t="s">
        <v>421</v>
      </c>
      <c r="G301" s="140">
        <v>0.71</v>
      </c>
      <c r="H301" s="87" t="s">
        <v>777</v>
      </c>
      <c r="I301" s="136">
        <v>4</v>
      </c>
    </row>
    <row r="302" spans="1:9" ht="15" customHeight="1" x14ac:dyDescent="0.25">
      <c r="A302" s="3"/>
      <c r="F302" s="135" t="s">
        <v>460</v>
      </c>
      <c r="G302" s="140">
        <v>0.75</v>
      </c>
      <c r="H302" s="87" t="s">
        <v>17</v>
      </c>
      <c r="I302" s="136">
        <v>5</v>
      </c>
    </row>
    <row r="303" spans="1:9" ht="15" customHeight="1" x14ac:dyDescent="0.25">
      <c r="A303" s="3"/>
      <c r="F303" s="135" t="s">
        <v>914</v>
      </c>
      <c r="G303" s="140">
        <v>0.53</v>
      </c>
      <c r="H303" s="87" t="s">
        <v>17</v>
      </c>
      <c r="I303" s="136">
        <v>5</v>
      </c>
    </row>
    <row r="304" spans="1:9" ht="15" customHeight="1" x14ac:dyDescent="0.25">
      <c r="A304" s="3"/>
      <c r="F304" s="135" t="s">
        <v>423</v>
      </c>
      <c r="G304" s="140">
        <v>0.59</v>
      </c>
      <c r="H304" s="87" t="s">
        <v>777</v>
      </c>
      <c r="I304" s="136">
        <v>5</v>
      </c>
    </row>
    <row r="305" spans="1:9" ht="15" customHeight="1" x14ac:dyDescent="0.25">
      <c r="A305" s="3"/>
      <c r="F305" s="135" t="s">
        <v>464</v>
      </c>
      <c r="G305" s="140">
        <v>0.36</v>
      </c>
      <c r="H305" s="87" t="s">
        <v>17</v>
      </c>
      <c r="I305" s="136">
        <v>5</v>
      </c>
    </row>
    <row r="306" spans="1:9" ht="15" customHeight="1" x14ac:dyDescent="0.25">
      <c r="A306" s="3"/>
      <c r="F306" s="135" t="s">
        <v>465</v>
      </c>
      <c r="G306" s="140">
        <v>0.49</v>
      </c>
      <c r="H306" s="87" t="s">
        <v>17</v>
      </c>
      <c r="I306" s="136">
        <v>5</v>
      </c>
    </row>
    <row r="307" spans="1:9" ht="15" customHeight="1" x14ac:dyDescent="0.25">
      <c r="A307" s="3"/>
      <c r="F307" s="135" t="s">
        <v>915</v>
      </c>
      <c r="G307" s="140">
        <v>0.59</v>
      </c>
      <c r="H307" s="87" t="s">
        <v>777</v>
      </c>
      <c r="I307" s="136">
        <v>4</v>
      </c>
    </row>
    <row r="308" spans="1:9" ht="15" customHeight="1" x14ac:dyDescent="0.25">
      <c r="A308" s="3"/>
      <c r="F308" s="135" t="s">
        <v>425</v>
      </c>
      <c r="G308" s="140">
        <v>0.63</v>
      </c>
      <c r="H308" s="87" t="s">
        <v>777</v>
      </c>
      <c r="I308" s="136">
        <v>5</v>
      </c>
    </row>
    <row r="309" spans="1:9" ht="15" customHeight="1" x14ac:dyDescent="0.25">
      <c r="A309" s="3"/>
      <c r="F309" s="135" t="s">
        <v>405</v>
      </c>
      <c r="G309" s="140">
        <v>0.51</v>
      </c>
      <c r="H309" s="87" t="s">
        <v>16</v>
      </c>
      <c r="I309" s="136">
        <v>5</v>
      </c>
    </row>
    <row r="310" spans="1:9" ht="15" customHeight="1" x14ac:dyDescent="0.25">
      <c r="A310" s="3"/>
      <c r="F310" s="135" t="s">
        <v>468</v>
      </c>
      <c r="G310" s="140">
        <v>0.4</v>
      </c>
      <c r="H310" s="87" t="s">
        <v>17</v>
      </c>
      <c r="I310" s="136">
        <v>5</v>
      </c>
    </row>
    <row r="311" spans="1:9" ht="15" customHeight="1" x14ac:dyDescent="0.25">
      <c r="A311" s="3"/>
      <c r="F311" s="135" t="s">
        <v>471</v>
      </c>
      <c r="G311" s="140">
        <v>0.8</v>
      </c>
      <c r="H311" s="87" t="s">
        <v>17</v>
      </c>
      <c r="I311" s="136">
        <v>5</v>
      </c>
    </row>
    <row r="312" spans="1:9" ht="15" customHeight="1" x14ac:dyDescent="0.25">
      <c r="A312" s="3"/>
      <c r="F312" s="135" t="s">
        <v>407</v>
      </c>
      <c r="G312" s="140">
        <v>0.42</v>
      </c>
      <c r="H312" s="87" t="s">
        <v>16</v>
      </c>
      <c r="I312" s="136">
        <v>5</v>
      </c>
    </row>
    <row r="313" spans="1:9" ht="15" customHeight="1" x14ac:dyDescent="0.25">
      <c r="A313" s="3"/>
      <c r="F313" s="135" t="s">
        <v>473</v>
      </c>
      <c r="G313" s="140">
        <v>0.54</v>
      </c>
      <c r="H313" s="87" t="s">
        <v>17</v>
      </c>
      <c r="I313" s="136">
        <v>5</v>
      </c>
    </row>
    <row r="314" spans="1:9" ht="15" customHeight="1" x14ac:dyDescent="0.25">
      <c r="A314" s="3"/>
      <c r="F314" s="135" t="s">
        <v>916</v>
      </c>
      <c r="G314" s="140">
        <v>0.5</v>
      </c>
      <c r="H314" s="87" t="s">
        <v>777</v>
      </c>
      <c r="I314" s="136">
        <v>1</v>
      </c>
    </row>
    <row r="315" spans="1:9" ht="15" customHeight="1" x14ac:dyDescent="0.25">
      <c r="A315" s="3"/>
      <c r="F315" s="135" t="s">
        <v>410</v>
      </c>
      <c r="G315" s="140">
        <v>0.66</v>
      </c>
      <c r="H315" s="87" t="s">
        <v>16</v>
      </c>
      <c r="I315" s="136">
        <v>5</v>
      </c>
    </row>
    <row r="316" spans="1:9" ht="15" customHeight="1" x14ac:dyDescent="0.25">
      <c r="A316" s="3"/>
      <c r="F316" s="135" t="s">
        <v>917</v>
      </c>
      <c r="G316" s="140">
        <v>0.78</v>
      </c>
      <c r="H316" s="87" t="s">
        <v>777</v>
      </c>
      <c r="I316" s="136">
        <v>4</v>
      </c>
    </row>
    <row r="317" spans="1:9" ht="15" customHeight="1" x14ac:dyDescent="0.25">
      <c r="A317" s="3"/>
      <c r="F317" s="135" t="s">
        <v>918</v>
      </c>
      <c r="G317" s="140">
        <v>0.38</v>
      </c>
      <c r="H317" s="87" t="s">
        <v>17</v>
      </c>
      <c r="I317" s="136">
        <v>5</v>
      </c>
    </row>
    <row r="318" spans="1:9" ht="15" customHeight="1" x14ac:dyDescent="0.25">
      <c r="A318" s="3"/>
      <c r="F318" s="135" t="s">
        <v>412</v>
      </c>
      <c r="G318" s="140" t="s">
        <v>919</v>
      </c>
      <c r="H318" s="87" t="s">
        <v>16</v>
      </c>
      <c r="I318" s="136">
        <v>3</v>
      </c>
    </row>
    <row r="319" spans="1:9" ht="15" customHeight="1" x14ac:dyDescent="0.25">
      <c r="A319" s="3"/>
      <c r="F319" s="135" t="s">
        <v>476</v>
      </c>
      <c r="G319" s="140">
        <v>0.34</v>
      </c>
      <c r="H319" s="87" t="s">
        <v>777</v>
      </c>
      <c r="I319" s="136">
        <v>4</v>
      </c>
    </row>
    <row r="320" spans="1:9" ht="15" customHeight="1" x14ac:dyDescent="0.25">
      <c r="A320" s="3"/>
      <c r="F320" s="135" t="s">
        <v>476</v>
      </c>
      <c r="G320" s="140">
        <v>0.35</v>
      </c>
      <c r="H320" s="87" t="s">
        <v>17</v>
      </c>
      <c r="I320" s="136">
        <v>5</v>
      </c>
    </row>
    <row r="321" spans="1:9" ht="15" customHeight="1" x14ac:dyDescent="0.25">
      <c r="A321" s="3"/>
      <c r="F321" s="135" t="s">
        <v>920</v>
      </c>
      <c r="G321" s="140">
        <v>0.4</v>
      </c>
      <c r="H321" s="87" t="s">
        <v>777</v>
      </c>
      <c r="I321" s="136">
        <v>4</v>
      </c>
    </row>
    <row r="322" spans="1:9" ht="15" customHeight="1" x14ac:dyDescent="0.25">
      <c r="A322" s="3"/>
      <c r="F322" s="135" t="s">
        <v>428</v>
      </c>
      <c r="G322" s="140">
        <v>0.78</v>
      </c>
      <c r="H322" s="87" t="s">
        <v>777</v>
      </c>
      <c r="I322" s="136">
        <v>4</v>
      </c>
    </row>
    <row r="323" spans="1:9" ht="15" customHeight="1" x14ac:dyDescent="0.25">
      <c r="A323" s="3"/>
      <c r="F323" s="135" t="s">
        <v>921</v>
      </c>
      <c r="G323" s="140">
        <v>0.78</v>
      </c>
      <c r="H323" s="87" t="s">
        <v>777</v>
      </c>
      <c r="I323" s="136">
        <v>4</v>
      </c>
    </row>
    <row r="324" spans="1:9" ht="15" customHeight="1" x14ac:dyDescent="0.25">
      <c r="A324" s="3"/>
      <c r="F324" s="135" t="s">
        <v>479</v>
      </c>
      <c r="G324" s="140">
        <v>0.73</v>
      </c>
      <c r="H324" s="87" t="s">
        <v>17</v>
      </c>
      <c r="I324" s="136">
        <v>5</v>
      </c>
    </row>
    <row r="325" spans="1:9" ht="15" customHeight="1" x14ac:dyDescent="0.25">
      <c r="A325" s="3"/>
      <c r="F325" s="135" t="s">
        <v>415</v>
      </c>
      <c r="G325" s="140">
        <v>0.6</v>
      </c>
      <c r="H325" s="87" t="s">
        <v>16</v>
      </c>
      <c r="I325" s="136">
        <v>5</v>
      </c>
    </row>
    <row r="326" spans="1:9" ht="15" customHeight="1" x14ac:dyDescent="0.25">
      <c r="A326" s="3"/>
      <c r="F326" s="135" t="s">
        <v>418</v>
      </c>
      <c r="G326" s="140">
        <v>0.5</v>
      </c>
      <c r="H326" s="87" t="s">
        <v>16</v>
      </c>
      <c r="I326" s="136">
        <v>5</v>
      </c>
    </row>
    <row r="327" spans="1:9" ht="15" customHeight="1" x14ac:dyDescent="0.25">
      <c r="A327" s="3"/>
      <c r="F327" s="135" t="s">
        <v>922</v>
      </c>
      <c r="G327" s="140">
        <v>0.45</v>
      </c>
      <c r="H327" s="87" t="s">
        <v>777</v>
      </c>
      <c r="I327" s="136">
        <v>4</v>
      </c>
    </row>
    <row r="328" spans="1:9" ht="15" customHeight="1" x14ac:dyDescent="0.25">
      <c r="A328" s="3"/>
      <c r="F328" s="135" t="s">
        <v>434</v>
      </c>
      <c r="G328" s="140">
        <v>0.47</v>
      </c>
      <c r="H328" s="87" t="s">
        <v>777</v>
      </c>
      <c r="I328" s="136">
        <v>1</v>
      </c>
    </row>
    <row r="329" spans="1:9" ht="15" customHeight="1" x14ac:dyDescent="0.25">
      <c r="A329" s="3"/>
      <c r="F329" s="135" t="s">
        <v>419</v>
      </c>
      <c r="G329" s="140">
        <v>0.56000000000000005</v>
      </c>
      <c r="H329" s="87" t="s">
        <v>16</v>
      </c>
      <c r="I329" s="136">
        <v>5</v>
      </c>
    </row>
    <row r="330" spans="1:9" ht="15" customHeight="1" x14ac:dyDescent="0.25">
      <c r="A330" s="3"/>
      <c r="F330" s="135" t="s">
        <v>437</v>
      </c>
      <c r="G330" s="140">
        <v>0.23</v>
      </c>
      <c r="H330" s="87" t="s">
        <v>777</v>
      </c>
      <c r="I330" s="136">
        <v>5</v>
      </c>
    </row>
    <row r="331" spans="1:9" ht="15" customHeight="1" x14ac:dyDescent="0.25">
      <c r="A331" s="3"/>
      <c r="F331" s="135" t="s">
        <v>481</v>
      </c>
      <c r="G331" s="140">
        <v>0.24</v>
      </c>
      <c r="H331" s="87" t="s">
        <v>17</v>
      </c>
      <c r="I331" s="136">
        <v>5</v>
      </c>
    </row>
    <row r="332" spans="1:9" ht="15" customHeight="1" x14ac:dyDescent="0.25">
      <c r="A332" s="3"/>
      <c r="F332" s="135" t="s">
        <v>422</v>
      </c>
      <c r="G332" s="140">
        <v>0.25</v>
      </c>
      <c r="H332" s="87" t="s">
        <v>16</v>
      </c>
      <c r="I332" s="136">
        <v>5</v>
      </c>
    </row>
    <row r="333" spans="1:9" ht="15" customHeight="1" x14ac:dyDescent="0.25">
      <c r="A333" s="3"/>
      <c r="F333" s="135" t="s">
        <v>424</v>
      </c>
      <c r="G333" s="140" t="s">
        <v>923</v>
      </c>
      <c r="H333" s="87" t="s">
        <v>16</v>
      </c>
      <c r="I333" s="136">
        <v>3</v>
      </c>
    </row>
    <row r="334" spans="1:9" ht="15" customHeight="1" x14ac:dyDescent="0.25">
      <c r="A334" s="3"/>
      <c r="F334" s="135" t="s">
        <v>484</v>
      </c>
      <c r="G334" s="140">
        <v>0.65</v>
      </c>
      <c r="H334" s="87" t="s">
        <v>17</v>
      </c>
      <c r="I334" s="136">
        <v>5</v>
      </c>
    </row>
    <row r="335" spans="1:9" ht="15" customHeight="1" x14ac:dyDescent="0.25">
      <c r="A335" s="3"/>
      <c r="F335" s="135" t="s">
        <v>924</v>
      </c>
      <c r="G335" s="140">
        <v>0.9</v>
      </c>
      <c r="H335" s="87" t="s">
        <v>777</v>
      </c>
      <c r="I335" s="136">
        <v>4</v>
      </c>
    </row>
    <row r="336" spans="1:9" ht="15" customHeight="1" x14ac:dyDescent="0.25">
      <c r="A336" s="3"/>
      <c r="F336" s="135" t="s">
        <v>925</v>
      </c>
      <c r="G336" s="140">
        <v>0.78</v>
      </c>
      <c r="H336" s="87" t="s">
        <v>777</v>
      </c>
      <c r="I336" s="136">
        <v>4</v>
      </c>
    </row>
    <row r="337" spans="1:9" ht="15" customHeight="1" x14ac:dyDescent="0.25">
      <c r="A337" s="3"/>
      <c r="F337" s="135" t="s">
        <v>926</v>
      </c>
      <c r="G337" s="140">
        <v>0.81</v>
      </c>
      <c r="H337" s="87" t="s">
        <v>777</v>
      </c>
      <c r="I337" s="136">
        <v>4</v>
      </c>
    </row>
    <row r="338" spans="1:9" ht="15" customHeight="1" x14ac:dyDescent="0.25">
      <c r="A338" s="3"/>
      <c r="F338" s="135" t="s">
        <v>927</v>
      </c>
      <c r="G338" s="140">
        <v>0.79</v>
      </c>
      <c r="H338" s="87" t="s">
        <v>777</v>
      </c>
      <c r="I338" s="136">
        <v>4</v>
      </c>
    </row>
    <row r="339" spans="1:9" ht="15" customHeight="1" x14ac:dyDescent="0.25">
      <c r="A339" s="3"/>
      <c r="F339" s="135" t="s">
        <v>487</v>
      </c>
      <c r="G339" s="140">
        <v>0.64</v>
      </c>
      <c r="H339" s="87" t="s">
        <v>17</v>
      </c>
      <c r="I339" s="136">
        <v>5</v>
      </c>
    </row>
    <row r="340" spans="1:9" ht="15" customHeight="1" x14ac:dyDescent="0.25">
      <c r="F340" s="135" t="s">
        <v>490</v>
      </c>
      <c r="G340" s="140">
        <v>0.34</v>
      </c>
      <c r="H340" s="87" t="s">
        <v>17</v>
      </c>
      <c r="I340" s="136">
        <v>5</v>
      </c>
    </row>
    <row r="341" spans="1:9" ht="15" customHeight="1" x14ac:dyDescent="0.25">
      <c r="F341" s="135" t="s">
        <v>440</v>
      </c>
      <c r="G341" s="140">
        <v>0.51</v>
      </c>
      <c r="H341" s="87" t="s">
        <v>777</v>
      </c>
      <c r="I341" s="136">
        <v>5</v>
      </c>
    </row>
    <row r="342" spans="1:9" ht="15" customHeight="1" x14ac:dyDescent="0.35">
      <c r="A342" s="21" t="s">
        <v>660</v>
      </c>
      <c r="F342" s="135" t="s">
        <v>928</v>
      </c>
      <c r="G342" s="140">
        <v>0.65</v>
      </c>
      <c r="H342" s="87" t="s">
        <v>17</v>
      </c>
      <c r="I342" s="136">
        <v>5</v>
      </c>
    </row>
    <row r="343" spans="1:9" ht="15" customHeight="1" x14ac:dyDescent="0.25">
      <c r="F343" s="135" t="s">
        <v>442</v>
      </c>
      <c r="G343" s="140">
        <v>0.73</v>
      </c>
      <c r="H343" s="87" t="s">
        <v>777</v>
      </c>
      <c r="I343" s="136">
        <v>5</v>
      </c>
    </row>
    <row r="344" spans="1:9" ht="15" customHeight="1" x14ac:dyDescent="0.25">
      <c r="F344" s="135" t="s">
        <v>444</v>
      </c>
      <c r="G344" s="140">
        <v>0.7</v>
      </c>
      <c r="H344" s="87" t="s">
        <v>777</v>
      </c>
      <c r="I344" s="136">
        <v>4</v>
      </c>
    </row>
    <row r="345" spans="1:9" ht="15" customHeight="1" x14ac:dyDescent="0.25">
      <c r="F345" s="135" t="s">
        <v>427</v>
      </c>
      <c r="G345" s="140">
        <v>0.69</v>
      </c>
      <c r="H345" s="87" t="s">
        <v>16</v>
      </c>
      <c r="I345" s="136">
        <v>5</v>
      </c>
    </row>
    <row r="346" spans="1:9" ht="15" customHeight="1" x14ac:dyDescent="0.25">
      <c r="F346" s="135" t="s">
        <v>929</v>
      </c>
      <c r="G346" s="140">
        <v>0.69</v>
      </c>
      <c r="H346" s="87" t="s">
        <v>777</v>
      </c>
      <c r="I346" s="136">
        <v>5</v>
      </c>
    </row>
    <row r="347" spans="1:9" ht="27" customHeight="1" x14ac:dyDescent="0.25">
      <c r="F347" s="135" t="s">
        <v>930</v>
      </c>
      <c r="G347" s="140">
        <v>0.73</v>
      </c>
      <c r="H347" s="87" t="s">
        <v>17</v>
      </c>
      <c r="I347" s="136">
        <v>5</v>
      </c>
    </row>
    <row r="348" spans="1:9" ht="33.75" customHeight="1" x14ac:dyDescent="0.25">
      <c r="F348" s="135" t="s">
        <v>495</v>
      </c>
      <c r="G348" s="140">
        <v>0.65</v>
      </c>
      <c r="H348" s="87" t="s">
        <v>17</v>
      </c>
      <c r="I348" s="136">
        <v>5</v>
      </c>
    </row>
    <row r="349" spans="1:9" ht="33.75" customHeight="1" x14ac:dyDescent="0.25">
      <c r="F349" s="135" t="s">
        <v>931</v>
      </c>
      <c r="G349" s="140">
        <v>0.5</v>
      </c>
      <c r="H349" s="87" t="s">
        <v>777</v>
      </c>
      <c r="I349" s="136">
        <v>1</v>
      </c>
    </row>
    <row r="350" spans="1:9" ht="15" customHeight="1" x14ac:dyDescent="0.25">
      <c r="F350" s="135" t="s">
        <v>430</v>
      </c>
      <c r="G350" s="140">
        <v>0.4</v>
      </c>
      <c r="H350" s="87" t="s">
        <v>16</v>
      </c>
      <c r="I350" s="136">
        <v>5</v>
      </c>
    </row>
    <row r="351" spans="1:9" ht="15" customHeight="1" x14ac:dyDescent="0.25">
      <c r="F351" s="135" t="s">
        <v>432</v>
      </c>
      <c r="G351" s="140">
        <v>0.45</v>
      </c>
      <c r="H351" s="87" t="s">
        <v>16</v>
      </c>
      <c r="I351" s="136">
        <v>5</v>
      </c>
    </row>
    <row r="352" spans="1:9" ht="15" customHeight="1" x14ac:dyDescent="0.25">
      <c r="F352" s="135" t="s">
        <v>932</v>
      </c>
      <c r="G352" s="140">
        <v>0.51</v>
      </c>
      <c r="H352" s="87" t="s">
        <v>777</v>
      </c>
      <c r="I352" s="136">
        <v>1</v>
      </c>
    </row>
    <row r="353" spans="6:9" ht="15" customHeight="1" x14ac:dyDescent="0.25">
      <c r="F353" s="135" t="s">
        <v>933</v>
      </c>
      <c r="G353" s="140">
        <v>0.56000000000000005</v>
      </c>
      <c r="H353" s="87" t="s">
        <v>16</v>
      </c>
      <c r="I353" s="136">
        <v>5</v>
      </c>
    </row>
    <row r="354" spans="6:9" ht="15" customHeight="1" x14ac:dyDescent="0.25">
      <c r="F354" s="135" t="s">
        <v>497</v>
      </c>
      <c r="G354" s="140">
        <v>0.59</v>
      </c>
      <c r="H354" s="87" t="s">
        <v>17</v>
      </c>
      <c r="I354" s="136">
        <v>5</v>
      </c>
    </row>
    <row r="355" spans="6:9" ht="15" customHeight="1" x14ac:dyDescent="0.25">
      <c r="F355" s="135" t="s">
        <v>499</v>
      </c>
      <c r="G355" s="140">
        <v>0.65</v>
      </c>
      <c r="H355" s="87" t="s">
        <v>17</v>
      </c>
      <c r="I355" s="136">
        <v>5</v>
      </c>
    </row>
    <row r="356" spans="6:9" ht="15" customHeight="1" x14ac:dyDescent="0.25">
      <c r="F356" s="135" t="s">
        <v>435</v>
      </c>
      <c r="G356" s="140">
        <v>0.78</v>
      </c>
      <c r="H356" s="87" t="s">
        <v>16</v>
      </c>
      <c r="I356" s="136">
        <v>5</v>
      </c>
    </row>
    <row r="357" spans="6:9" ht="15" customHeight="1" x14ac:dyDescent="0.25">
      <c r="F357" s="135" t="s">
        <v>934</v>
      </c>
      <c r="G357" s="140">
        <v>0.75</v>
      </c>
      <c r="H357" s="87" t="s">
        <v>17</v>
      </c>
      <c r="I357" s="136">
        <v>5</v>
      </c>
    </row>
    <row r="358" spans="6:9" ht="15" customHeight="1" x14ac:dyDescent="0.25">
      <c r="F358" s="135" t="s">
        <v>504</v>
      </c>
      <c r="G358" s="140">
        <v>0.64</v>
      </c>
      <c r="H358" s="87" t="s">
        <v>17</v>
      </c>
      <c r="I358" s="136">
        <v>5</v>
      </c>
    </row>
    <row r="359" spans="6:9" ht="15" customHeight="1" x14ac:dyDescent="0.25">
      <c r="F359" s="135" t="s">
        <v>507</v>
      </c>
      <c r="G359" s="140">
        <v>0.51</v>
      </c>
      <c r="H359" s="87" t="s">
        <v>17</v>
      </c>
      <c r="I359" s="136">
        <v>5</v>
      </c>
    </row>
    <row r="360" spans="6:9" ht="15" customHeight="1" x14ac:dyDescent="0.25">
      <c r="F360" s="135" t="s">
        <v>935</v>
      </c>
      <c r="G360" s="140">
        <v>0.51</v>
      </c>
      <c r="H360" s="87" t="s">
        <v>777</v>
      </c>
      <c r="I360" s="136">
        <v>4</v>
      </c>
    </row>
    <row r="361" spans="6:9" ht="15" customHeight="1" x14ac:dyDescent="0.25">
      <c r="F361" s="135" t="s">
        <v>436</v>
      </c>
      <c r="G361" s="140">
        <v>0.87</v>
      </c>
      <c r="H361" s="87" t="s">
        <v>16</v>
      </c>
      <c r="I361" s="136">
        <v>5</v>
      </c>
    </row>
    <row r="362" spans="6:9" ht="15" customHeight="1" x14ac:dyDescent="0.25">
      <c r="F362" s="135" t="s">
        <v>936</v>
      </c>
      <c r="G362" s="140">
        <v>0.63</v>
      </c>
      <c r="H362" s="87" t="s">
        <v>17</v>
      </c>
      <c r="I362" s="136">
        <v>5</v>
      </c>
    </row>
    <row r="363" spans="6:9" ht="15" customHeight="1" x14ac:dyDescent="0.25">
      <c r="F363" s="135" t="s">
        <v>937</v>
      </c>
      <c r="G363" s="140">
        <v>0.66</v>
      </c>
      <c r="H363" s="87" t="s">
        <v>777</v>
      </c>
      <c r="I363" s="136">
        <v>4</v>
      </c>
    </row>
    <row r="364" spans="6:9" ht="15" customHeight="1" x14ac:dyDescent="0.25">
      <c r="F364" s="135" t="s">
        <v>509</v>
      </c>
      <c r="G364" s="140" t="s">
        <v>938</v>
      </c>
      <c r="H364" s="87" t="s">
        <v>17</v>
      </c>
      <c r="I364" s="136">
        <v>5</v>
      </c>
    </row>
    <row r="365" spans="6:9" ht="15" customHeight="1" x14ac:dyDescent="0.25">
      <c r="F365" s="135" t="s">
        <v>511</v>
      </c>
      <c r="G365" s="140">
        <v>0.54</v>
      </c>
      <c r="H365" s="87" t="s">
        <v>17</v>
      </c>
      <c r="I365" s="136">
        <v>5</v>
      </c>
    </row>
    <row r="366" spans="6:9" ht="15" customHeight="1" x14ac:dyDescent="0.25">
      <c r="F366" s="135" t="s">
        <v>514</v>
      </c>
      <c r="G366" s="140">
        <v>0.64</v>
      </c>
      <c r="H366" s="87" t="s">
        <v>17</v>
      </c>
      <c r="I366" s="136">
        <v>5</v>
      </c>
    </row>
    <row r="367" spans="6:9" ht="15" customHeight="1" x14ac:dyDescent="0.25">
      <c r="F367" s="135" t="s">
        <v>516</v>
      </c>
      <c r="G367" s="140">
        <v>0.56999999999999995</v>
      </c>
      <c r="H367" s="87" t="s">
        <v>17</v>
      </c>
      <c r="I367" s="136">
        <v>5</v>
      </c>
    </row>
    <row r="368" spans="6:9" ht="15" customHeight="1" x14ac:dyDescent="0.25">
      <c r="F368" s="135" t="s">
        <v>438</v>
      </c>
      <c r="G368" s="140">
        <v>0.4</v>
      </c>
      <c r="H368" s="87" t="s">
        <v>16</v>
      </c>
      <c r="I368" s="136">
        <v>5</v>
      </c>
    </row>
    <row r="369" spans="1:9" ht="15" customHeight="1" x14ac:dyDescent="0.25">
      <c r="F369" s="135" t="s">
        <v>453</v>
      </c>
      <c r="G369" s="140">
        <v>0.68</v>
      </c>
      <c r="H369" s="87" t="s">
        <v>777</v>
      </c>
      <c r="I369" s="136">
        <v>1</v>
      </c>
    </row>
    <row r="370" spans="1:9" ht="15" customHeight="1" x14ac:dyDescent="0.25">
      <c r="F370" s="135" t="s">
        <v>519</v>
      </c>
      <c r="G370" s="140">
        <v>0.68</v>
      </c>
      <c r="H370" s="87" t="s">
        <v>17</v>
      </c>
      <c r="I370" s="136">
        <v>5</v>
      </c>
    </row>
    <row r="371" spans="1:9" ht="15" customHeight="1" x14ac:dyDescent="0.25">
      <c r="F371" s="135" t="s">
        <v>939</v>
      </c>
      <c r="G371" s="140" t="s">
        <v>940</v>
      </c>
      <c r="H371" s="87" t="s">
        <v>16</v>
      </c>
      <c r="I371" s="136">
        <v>3</v>
      </c>
    </row>
    <row r="372" spans="1:9" ht="15" customHeight="1" x14ac:dyDescent="0.25">
      <c r="F372" s="135" t="s">
        <v>454</v>
      </c>
      <c r="G372" s="140">
        <v>0.52</v>
      </c>
      <c r="H372" s="87" t="s">
        <v>777</v>
      </c>
      <c r="I372" s="136">
        <v>5</v>
      </c>
    </row>
    <row r="373" spans="1:9" ht="15" customHeight="1" x14ac:dyDescent="0.25">
      <c r="F373" s="135" t="s">
        <v>941</v>
      </c>
      <c r="G373" s="140">
        <v>0.68</v>
      </c>
      <c r="H373" s="87" t="s">
        <v>777</v>
      </c>
      <c r="I373" s="136">
        <v>4</v>
      </c>
    </row>
    <row r="374" spans="1:9" ht="15" customHeight="1" x14ac:dyDescent="0.25">
      <c r="F374" s="135" t="s">
        <v>942</v>
      </c>
      <c r="G374" s="140">
        <v>0.6</v>
      </c>
      <c r="H374" s="87" t="s">
        <v>777</v>
      </c>
      <c r="I374" s="136">
        <v>1</v>
      </c>
    </row>
    <row r="375" spans="1:9" ht="15" customHeight="1" x14ac:dyDescent="0.25">
      <c r="F375" s="135" t="s">
        <v>943</v>
      </c>
      <c r="G375" s="140">
        <v>0.52</v>
      </c>
      <c r="H375" s="87" t="s">
        <v>777</v>
      </c>
      <c r="I375" s="136">
        <v>1</v>
      </c>
    </row>
    <row r="376" spans="1:9" ht="15" customHeight="1" x14ac:dyDescent="0.25">
      <c r="F376" s="135" t="s">
        <v>944</v>
      </c>
      <c r="G376" s="140">
        <v>0.51</v>
      </c>
      <c r="H376" s="87" t="s">
        <v>777</v>
      </c>
      <c r="I376" s="136">
        <v>4</v>
      </c>
    </row>
    <row r="377" spans="1:9" ht="15" customHeight="1" x14ac:dyDescent="0.35">
      <c r="A377" s="21"/>
      <c r="F377" s="135" t="s">
        <v>945</v>
      </c>
      <c r="G377" s="140">
        <v>0.65</v>
      </c>
      <c r="H377" s="87" t="s">
        <v>777</v>
      </c>
      <c r="I377" s="136">
        <v>4</v>
      </c>
    </row>
    <row r="378" spans="1:9" ht="15" customHeight="1" x14ac:dyDescent="0.25">
      <c r="F378" s="135" t="s">
        <v>458</v>
      </c>
      <c r="G378" s="140" t="s">
        <v>946</v>
      </c>
      <c r="H378" s="87" t="s">
        <v>777</v>
      </c>
      <c r="I378" s="136">
        <v>5</v>
      </c>
    </row>
    <row r="379" spans="1:9" ht="15" customHeight="1" x14ac:dyDescent="0.25">
      <c r="F379" s="135" t="s">
        <v>947</v>
      </c>
      <c r="G379" s="140" t="s">
        <v>948</v>
      </c>
      <c r="H379" s="87" t="s">
        <v>16</v>
      </c>
      <c r="I379" s="136">
        <v>3</v>
      </c>
    </row>
    <row r="380" spans="1:9" ht="15" customHeight="1" x14ac:dyDescent="0.25">
      <c r="F380" s="135" t="s">
        <v>462</v>
      </c>
      <c r="G380" s="140" t="s">
        <v>949</v>
      </c>
      <c r="H380" s="87" t="s">
        <v>777</v>
      </c>
      <c r="I380" s="136">
        <v>5</v>
      </c>
    </row>
    <row r="381" spans="1:9" ht="15" customHeight="1" x14ac:dyDescent="0.25">
      <c r="F381" s="135" t="s">
        <v>950</v>
      </c>
      <c r="G381" s="140">
        <v>0.34</v>
      </c>
      <c r="H381" s="87" t="s">
        <v>777</v>
      </c>
      <c r="I381" s="136">
        <v>1</v>
      </c>
    </row>
    <row r="382" spans="1:9" ht="15" customHeight="1" x14ac:dyDescent="0.25">
      <c r="F382" s="135" t="s">
        <v>445</v>
      </c>
      <c r="G382" s="140">
        <v>0.28000000000000003</v>
      </c>
      <c r="H382" s="87" t="s">
        <v>16</v>
      </c>
      <c r="I382" s="136">
        <v>5</v>
      </c>
    </row>
    <row r="383" spans="1:9" ht="15" customHeight="1" x14ac:dyDescent="0.25">
      <c r="F383" s="135" t="s">
        <v>521</v>
      </c>
      <c r="G383" s="140">
        <v>0.73</v>
      </c>
      <c r="H383" s="87" t="s">
        <v>17</v>
      </c>
      <c r="I383" s="136">
        <v>5</v>
      </c>
    </row>
    <row r="384" spans="1:9" ht="15" customHeight="1" x14ac:dyDescent="0.25">
      <c r="F384" s="135" t="s">
        <v>523</v>
      </c>
      <c r="G384" s="140">
        <v>0.62</v>
      </c>
      <c r="H384" s="87" t="s">
        <v>17</v>
      </c>
      <c r="I384" s="136">
        <v>5</v>
      </c>
    </row>
    <row r="385" spans="6:9" ht="15" customHeight="1" x14ac:dyDescent="0.25">
      <c r="F385" s="135" t="s">
        <v>446</v>
      </c>
      <c r="G385" s="140">
        <v>0.45</v>
      </c>
      <c r="H385" s="87" t="s">
        <v>16</v>
      </c>
      <c r="I385" s="136">
        <v>5</v>
      </c>
    </row>
    <row r="386" spans="6:9" ht="15" customHeight="1" x14ac:dyDescent="0.25">
      <c r="F386" s="135" t="s">
        <v>466</v>
      </c>
      <c r="G386" s="140">
        <v>0.72</v>
      </c>
      <c r="H386" s="87" t="s">
        <v>777</v>
      </c>
      <c r="I386" s="136">
        <v>4</v>
      </c>
    </row>
    <row r="387" spans="6:9" ht="15" customHeight="1" x14ac:dyDescent="0.25">
      <c r="F387" s="135" t="s">
        <v>951</v>
      </c>
      <c r="G387" s="140">
        <v>0.56000000000000005</v>
      </c>
      <c r="H387" s="87" t="s">
        <v>17</v>
      </c>
      <c r="I387" s="136">
        <v>5</v>
      </c>
    </row>
    <row r="388" spans="6:9" ht="15" customHeight="1" x14ac:dyDescent="0.25">
      <c r="F388" s="135" t="s">
        <v>469</v>
      </c>
      <c r="G388" s="140">
        <v>0.28999999999999998</v>
      </c>
      <c r="H388" s="87" t="s">
        <v>777</v>
      </c>
      <c r="I388" s="136">
        <v>5</v>
      </c>
    </row>
    <row r="389" spans="6:9" ht="15" customHeight="1" x14ac:dyDescent="0.25">
      <c r="F389" s="135" t="s">
        <v>528</v>
      </c>
      <c r="G389" s="140">
        <v>0.49</v>
      </c>
      <c r="H389" s="87" t="s">
        <v>777</v>
      </c>
      <c r="I389" s="136">
        <v>4</v>
      </c>
    </row>
    <row r="390" spans="6:9" ht="15" customHeight="1" x14ac:dyDescent="0.25">
      <c r="F390" s="135" t="s">
        <v>528</v>
      </c>
      <c r="G390" s="140">
        <v>0.53</v>
      </c>
      <c r="H390" s="87" t="s">
        <v>17</v>
      </c>
      <c r="I390" s="136">
        <v>5</v>
      </c>
    </row>
    <row r="391" spans="6:9" ht="15" customHeight="1" x14ac:dyDescent="0.25">
      <c r="F391" s="135" t="s">
        <v>449</v>
      </c>
      <c r="G391" s="140">
        <v>0.48</v>
      </c>
      <c r="H391" s="87" t="s">
        <v>16</v>
      </c>
      <c r="I391" s="136">
        <v>5</v>
      </c>
    </row>
    <row r="392" spans="6:9" ht="15" customHeight="1" x14ac:dyDescent="0.25">
      <c r="F392" s="135" t="s">
        <v>529</v>
      </c>
      <c r="G392" s="140">
        <v>0.56999999999999995</v>
      </c>
      <c r="H392" s="87" t="s">
        <v>17</v>
      </c>
      <c r="I392" s="136">
        <v>5</v>
      </c>
    </row>
    <row r="393" spans="6:9" ht="15" customHeight="1" x14ac:dyDescent="0.25">
      <c r="F393" s="135" t="s">
        <v>952</v>
      </c>
      <c r="G393" s="140" t="s">
        <v>953</v>
      </c>
      <c r="H393" s="87" t="s">
        <v>777</v>
      </c>
      <c r="I393" s="136">
        <v>1</v>
      </c>
    </row>
    <row r="394" spans="6:9" ht="15" customHeight="1" x14ac:dyDescent="0.25">
      <c r="F394" s="135" t="s">
        <v>954</v>
      </c>
      <c r="G394" s="140">
        <v>0.55000000000000004</v>
      </c>
      <c r="H394" s="87" t="s">
        <v>777</v>
      </c>
      <c r="I394" s="136">
        <v>1</v>
      </c>
    </row>
    <row r="395" spans="6:9" ht="15" customHeight="1" x14ac:dyDescent="0.25">
      <c r="F395" s="135" t="s">
        <v>955</v>
      </c>
      <c r="G395" s="140">
        <v>0.38</v>
      </c>
      <c r="H395" s="87" t="s">
        <v>777</v>
      </c>
      <c r="I395" s="136">
        <v>2</v>
      </c>
    </row>
    <row r="396" spans="6:9" ht="15" customHeight="1" x14ac:dyDescent="0.25">
      <c r="F396" s="135" t="s">
        <v>475</v>
      </c>
      <c r="G396" s="140">
        <v>0.74</v>
      </c>
      <c r="H396" s="87" t="s">
        <v>777</v>
      </c>
      <c r="I396" s="136">
        <v>5</v>
      </c>
    </row>
    <row r="397" spans="6:9" ht="15" customHeight="1" x14ac:dyDescent="0.25">
      <c r="F397" s="135" t="s">
        <v>451</v>
      </c>
      <c r="G397" s="140">
        <v>0.59</v>
      </c>
      <c r="H397" s="87" t="s">
        <v>16</v>
      </c>
      <c r="I397" s="136">
        <v>5</v>
      </c>
    </row>
    <row r="398" spans="6:9" ht="15" customHeight="1" x14ac:dyDescent="0.25">
      <c r="F398" s="135" t="s">
        <v>532</v>
      </c>
      <c r="G398" s="140">
        <v>0.38</v>
      </c>
      <c r="H398" s="87" t="s">
        <v>17</v>
      </c>
      <c r="I398" s="136">
        <v>5</v>
      </c>
    </row>
    <row r="399" spans="6:9" ht="15" customHeight="1" x14ac:dyDescent="0.25">
      <c r="F399" s="135" t="s">
        <v>956</v>
      </c>
      <c r="G399" s="140">
        <v>0.7</v>
      </c>
      <c r="H399" s="87" t="s">
        <v>16</v>
      </c>
      <c r="I399" s="136">
        <v>5</v>
      </c>
    </row>
    <row r="400" spans="6:9" ht="15" customHeight="1" x14ac:dyDescent="0.25">
      <c r="F400" s="135" t="s">
        <v>956</v>
      </c>
      <c r="G400" s="140">
        <v>0.76</v>
      </c>
      <c r="H400" s="87" t="s">
        <v>17</v>
      </c>
      <c r="I400" s="136">
        <v>5</v>
      </c>
    </row>
    <row r="401" spans="6:9" ht="15" customHeight="1" x14ac:dyDescent="0.25">
      <c r="F401" s="135" t="s">
        <v>535</v>
      </c>
      <c r="G401" s="140">
        <v>0.62</v>
      </c>
      <c r="H401" s="87" t="s">
        <v>17</v>
      </c>
      <c r="I401" s="136">
        <v>5</v>
      </c>
    </row>
    <row r="402" spans="6:9" ht="15" customHeight="1" x14ac:dyDescent="0.25">
      <c r="F402" s="135" t="s">
        <v>957</v>
      </c>
      <c r="G402" s="140">
        <v>0.64</v>
      </c>
      <c r="H402" s="87" t="s">
        <v>17</v>
      </c>
      <c r="I402" s="136">
        <v>5</v>
      </c>
    </row>
    <row r="403" spans="6:9" ht="15" customHeight="1" x14ac:dyDescent="0.25">
      <c r="F403" s="135" t="s">
        <v>958</v>
      </c>
      <c r="G403" s="140">
        <v>0.5</v>
      </c>
      <c r="H403" s="87" t="s">
        <v>777</v>
      </c>
      <c r="I403" s="136">
        <v>1</v>
      </c>
    </row>
    <row r="404" spans="6:9" ht="15" customHeight="1" x14ac:dyDescent="0.25">
      <c r="F404" s="135" t="s">
        <v>477</v>
      </c>
      <c r="G404" s="140">
        <v>0.66</v>
      </c>
      <c r="H404" s="87" t="s">
        <v>777</v>
      </c>
      <c r="I404" s="136">
        <v>4</v>
      </c>
    </row>
    <row r="405" spans="6:9" ht="15" customHeight="1" x14ac:dyDescent="0.25">
      <c r="F405" s="135" t="s">
        <v>959</v>
      </c>
      <c r="G405" s="140">
        <v>0.75</v>
      </c>
      <c r="H405" s="87" t="s">
        <v>777</v>
      </c>
      <c r="I405" s="136">
        <v>4</v>
      </c>
    </row>
    <row r="406" spans="6:9" ht="15" customHeight="1" x14ac:dyDescent="0.25">
      <c r="F406" s="135" t="s">
        <v>480</v>
      </c>
      <c r="G406" s="140">
        <v>0.7</v>
      </c>
      <c r="H406" s="87" t="s">
        <v>777</v>
      </c>
      <c r="I406" s="136">
        <v>5</v>
      </c>
    </row>
    <row r="407" spans="6:9" ht="15" customHeight="1" x14ac:dyDescent="0.25">
      <c r="F407" s="135" t="s">
        <v>482</v>
      </c>
      <c r="G407" s="140">
        <v>0.36</v>
      </c>
      <c r="H407" s="87" t="s">
        <v>777</v>
      </c>
      <c r="I407" s="136">
        <v>4</v>
      </c>
    </row>
    <row r="408" spans="6:9" ht="15" customHeight="1" x14ac:dyDescent="0.25">
      <c r="F408" s="135" t="s">
        <v>485</v>
      </c>
      <c r="G408" s="140">
        <v>0.64</v>
      </c>
      <c r="H408" s="87" t="s">
        <v>777</v>
      </c>
      <c r="I408" s="136">
        <v>4</v>
      </c>
    </row>
    <row r="409" spans="6:9" ht="15" customHeight="1" x14ac:dyDescent="0.25">
      <c r="F409" s="135" t="s">
        <v>488</v>
      </c>
      <c r="G409" s="140">
        <v>0.59</v>
      </c>
      <c r="H409" s="87" t="s">
        <v>777</v>
      </c>
      <c r="I409" s="136">
        <v>5</v>
      </c>
    </row>
    <row r="410" spans="6:9" ht="15" customHeight="1" x14ac:dyDescent="0.25">
      <c r="F410" s="135" t="s">
        <v>960</v>
      </c>
      <c r="G410" s="140">
        <v>0.78</v>
      </c>
      <c r="H410" s="87" t="s">
        <v>16</v>
      </c>
      <c r="I410" s="136">
        <v>5</v>
      </c>
    </row>
    <row r="411" spans="6:9" ht="15" customHeight="1" x14ac:dyDescent="0.25">
      <c r="F411" s="135" t="s">
        <v>961</v>
      </c>
      <c r="G411" s="140">
        <v>0.77</v>
      </c>
      <c r="H411" s="87" t="s">
        <v>777</v>
      </c>
      <c r="I411" s="136">
        <v>1</v>
      </c>
    </row>
    <row r="412" spans="6:9" ht="15" customHeight="1" x14ac:dyDescent="0.25">
      <c r="F412" s="135" t="s">
        <v>491</v>
      </c>
      <c r="G412" s="140">
        <v>0.67</v>
      </c>
      <c r="H412" s="87" t="s">
        <v>777</v>
      </c>
      <c r="I412" s="136">
        <v>5</v>
      </c>
    </row>
    <row r="413" spans="6:9" ht="15" customHeight="1" x14ac:dyDescent="0.25">
      <c r="F413" s="135" t="s">
        <v>962</v>
      </c>
      <c r="G413" s="140">
        <v>0.62</v>
      </c>
      <c r="H413" s="87" t="s">
        <v>777</v>
      </c>
      <c r="I413" s="136">
        <v>1</v>
      </c>
    </row>
    <row r="414" spans="6:9" ht="15" customHeight="1" x14ac:dyDescent="0.25">
      <c r="F414" s="135" t="s">
        <v>963</v>
      </c>
      <c r="G414" s="140">
        <v>0.95</v>
      </c>
      <c r="H414" s="87" t="s">
        <v>777</v>
      </c>
      <c r="I414" s="136">
        <v>4</v>
      </c>
    </row>
    <row r="415" spans="6:9" ht="15" customHeight="1" x14ac:dyDescent="0.25">
      <c r="F415" s="135" t="s">
        <v>964</v>
      </c>
      <c r="G415" s="140">
        <v>0.64</v>
      </c>
      <c r="H415" s="87" t="s">
        <v>777</v>
      </c>
      <c r="I415" s="136">
        <v>4</v>
      </c>
    </row>
    <row r="416" spans="6:9" ht="15" customHeight="1" x14ac:dyDescent="0.25">
      <c r="F416" s="135" t="s">
        <v>965</v>
      </c>
      <c r="G416" s="140">
        <v>0.65</v>
      </c>
      <c r="H416" s="87" t="s">
        <v>777</v>
      </c>
      <c r="I416" s="136">
        <v>4</v>
      </c>
    </row>
    <row r="417" spans="6:9" ht="15" customHeight="1" x14ac:dyDescent="0.25">
      <c r="F417" s="135" t="s">
        <v>966</v>
      </c>
      <c r="G417" s="140">
        <v>0.67</v>
      </c>
      <c r="H417" s="87" t="s">
        <v>777</v>
      </c>
      <c r="I417" s="136">
        <v>4</v>
      </c>
    </row>
    <row r="418" spans="6:9" ht="15" customHeight="1" x14ac:dyDescent="0.25">
      <c r="F418" s="135" t="s">
        <v>456</v>
      </c>
      <c r="G418" s="140">
        <v>0.78</v>
      </c>
      <c r="H418" s="87" t="s">
        <v>16</v>
      </c>
      <c r="I418" s="136">
        <v>5</v>
      </c>
    </row>
    <row r="419" spans="6:9" ht="15" customHeight="1" x14ac:dyDescent="0.25">
      <c r="F419" s="135" t="s">
        <v>967</v>
      </c>
      <c r="G419" s="140">
        <v>0.62</v>
      </c>
      <c r="H419" s="87" t="s">
        <v>777</v>
      </c>
      <c r="I419" s="136">
        <v>4</v>
      </c>
    </row>
    <row r="420" spans="6:9" ht="15" customHeight="1" x14ac:dyDescent="0.25">
      <c r="F420" s="135" t="s">
        <v>968</v>
      </c>
      <c r="G420" s="140">
        <v>0.51</v>
      </c>
      <c r="H420" s="87" t="s">
        <v>777</v>
      </c>
      <c r="I420" s="136">
        <v>1</v>
      </c>
    </row>
    <row r="421" spans="6:9" ht="15" customHeight="1" x14ac:dyDescent="0.25">
      <c r="F421" s="135" t="s">
        <v>969</v>
      </c>
      <c r="G421" s="140">
        <v>0.82</v>
      </c>
      <c r="H421" s="87" t="s">
        <v>777</v>
      </c>
      <c r="I421" s="136">
        <v>4</v>
      </c>
    </row>
    <row r="422" spans="6:9" ht="15" customHeight="1" x14ac:dyDescent="0.25">
      <c r="F422" s="135" t="s">
        <v>540</v>
      </c>
      <c r="G422" s="140">
        <v>0.68</v>
      </c>
      <c r="H422" s="87" t="s">
        <v>17</v>
      </c>
      <c r="I422" s="136">
        <v>5</v>
      </c>
    </row>
    <row r="423" spans="6:9" ht="15" customHeight="1" x14ac:dyDescent="0.25">
      <c r="F423" s="135" t="s">
        <v>457</v>
      </c>
      <c r="G423" s="140">
        <v>0.78</v>
      </c>
      <c r="H423" s="87" t="s">
        <v>16</v>
      </c>
      <c r="I423" s="136">
        <v>5</v>
      </c>
    </row>
    <row r="424" spans="6:9" ht="15" customHeight="1" x14ac:dyDescent="0.25">
      <c r="F424" s="135" t="s">
        <v>970</v>
      </c>
      <c r="G424" s="140">
        <v>0.55000000000000004</v>
      </c>
      <c r="H424" s="87" t="s">
        <v>777</v>
      </c>
      <c r="I424" s="136">
        <v>4</v>
      </c>
    </row>
    <row r="425" spans="6:9" ht="15" customHeight="1" x14ac:dyDescent="0.25">
      <c r="F425" s="135" t="s">
        <v>971</v>
      </c>
      <c r="G425" s="140">
        <v>0.56999999999999995</v>
      </c>
      <c r="H425" s="87" t="s">
        <v>777</v>
      </c>
      <c r="I425" s="136">
        <v>4</v>
      </c>
    </row>
    <row r="426" spans="6:9" ht="15" customHeight="1" x14ac:dyDescent="0.25">
      <c r="F426" s="135" t="s">
        <v>972</v>
      </c>
      <c r="G426" s="140">
        <v>0.72</v>
      </c>
      <c r="H426" s="87" t="s">
        <v>777</v>
      </c>
      <c r="I426" s="136">
        <v>4</v>
      </c>
    </row>
    <row r="427" spans="6:9" ht="15" customHeight="1" x14ac:dyDescent="0.25">
      <c r="F427" s="135" t="s">
        <v>973</v>
      </c>
      <c r="G427" s="140">
        <v>0.33</v>
      </c>
      <c r="H427" s="87" t="s">
        <v>777</v>
      </c>
      <c r="I427" s="136">
        <v>4</v>
      </c>
    </row>
    <row r="428" spans="6:9" ht="15" customHeight="1" x14ac:dyDescent="0.25">
      <c r="F428" s="135" t="s">
        <v>498</v>
      </c>
      <c r="G428" s="140">
        <v>0.39</v>
      </c>
      <c r="H428" s="87" t="s">
        <v>777</v>
      </c>
      <c r="I428" s="136">
        <v>4</v>
      </c>
    </row>
    <row r="429" spans="6:9" ht="15" customHeight="1" x14ac:dyDescent="0.25">
      <c r="F429" s="135" t="s">
        <v>459</v>
      </c>
      <c r="G429" s="140">
        <v>0.78</v>
      </c>
      <c r="H429" s="87" t="s">
        <v>16</v>
      </c>
      <c r="I429" s="136">
        <v>5</v>
      </c>
    </row>
    <row r="430" spans="6:9" ht="15" customHeight="1" x14ac:dyDescent="0.25">
      <c r="F430" s="135" t="s">
        <v>542</v>
      </c>
      <c r="G430" s="140">
        <v>0.53</v>
      </c>
      <c r="H430" s="87" t="s">
        <v>17</v>
      </c>
      <c r="I430" s="136">
        <v>5</v>
      </c>
    </row>
    <row r="431" spans="6:9" ht="15" customHeight="1" x14ac:dyDescent="0.25">
      <c r="F431" s="135" t="s">
        <v>461</v>
      </c>
      <c r="G431" s="140" t="s">
        <v>974</v>
      </c>
      <c r="H431" s="87" t="s">
        <v>16</v>
      </c>
      <c r="I431" s="136">
        <v>3</v>
      </c>
    </row>
    <row r="432" spans="6:9" ht="15" customHeight="1" x14ac:dyDescent="0.25">
      <c r="F432" s="135" t="s">
        <v>975</v>
      </c>
      <c r="G432" s="140">
        <v>0.48</v>
      </c>
      <c r="H432" s="87" t="s">
        <v>17</v>
      </c>
      <c r="I432" s="136">
        <v>5</v>
      </c>
    </row>
    <row r="433" spans="6:9" ht="15" customHeight="1" x14ac:dyDescent="0.25">
      <c r="F433" s="135" t="s">
        <v>463</v>
      </c>
      <c r="G433" s="140">
        <v>0.87</v>
      </c>
      <c r="H433" s="87" t="s">
        <v>16</v>
      </c>
      <c r="I433" s="136">
        <v>5</v>
      </c>
    </row>
    <row r="434" spans="6:9" ht="15" customHeight="1" x14ac:dyDescent="0.25">
      <c r="F434" s="135" t="s">
        <v>976</v>
      </c>
      <c r="G434" s="140">
        <v>0.36</v>
      </c>
      <c r="H434" s="87" t="s">
        <v>17</v>
      </c>
      <c r="I434" s="136">
        <v>5</v>
      </c>
    </row>
    <row r="435" spans="6:9" ht="15" customHeight="1" x14ac:dyDescent="0.25">
      <c r="F435" s="135" t="s">
        <v>977</v>
      </c>
      <c r="G435" s="140">
        <v>0.53</v>
      </c>
      <c r="H435" s="87" t="s">
        <v>17</v>
      </c>
      <c r="I435" s="136">
        <v>5</v>
      </c>
    </row>
    <row r="436" spans="6:9" ht="15" customHeight="1" x14ac:dyDescent="0.25">
      <c r="F436" s="135" t="s">
        <v>978</v>
      </c>
      <c r="G436" s="140">
        <v>0.63</v>
      </c>
      <c r="H436" s="87" t="s">
        <v>17</v>
      </c>
      <c r="I436" s="136">
        <v>5</v>
      </c>
    </row>
    <row r="437" spans="6:9" ht="15" customHeight="1" x14ac:dyDescent="0.25">
      <c r="F437" s="135" t="s">
        <v>979</v>
      </c>
      <c r="G437" s="140" t="s">
        <v>980</v>
      </c>
      <c r="H437" s="87" t="s">
        <v>17</v>
      </c>
      <c r="I437" s="136">
        <v>5</v>
      </c>
    </row>
    <row r="438" spans="6:9" ht="15" customHeight="1" x14ac:dyDescent="0.25">
      <c r="F438" s="135" t="s">
        <v>981</v>
      </c>
      <c r="G438" s="140">
        <v>0.72</v>
      </c>
      <c r="H438" s="87" t="s">
        <v>17</v>
      </c>
      <c r="I438" s="136">
        <v>5</v>
      </c>
    </row>
    <row r="439" spans="6:9" ht="15" customHeight="1" x14ac:dyDescent="0.25">
      <c r="F439" s="135" t="s">
        <v>500</v>
      </c>
      <c r="G439" s="140">
        <v>0.73</v>
      </c>
      <c r="H439" s="87" t="s">
        <v>777</v>
      </c>
      <c r="I439" s="136">
        <v>5</v>
      </c>
    </row>
    <row r="440" spans="6:9" ht="15" customHeight="1" x14ac:dyDescent="0.25">
      <c r="F440" s="135" t="s">
        <v>502</v>
      </c>
      <c r="G440" s="140">
        <v>0.63</v>
      </c>
      <c r="H440" s="87" t="s">
        <v>777</v>
      </c>
      <c r="I440" s="136">
        <v>1</v>
      </c>
    </row>
    <row r="441" spans="6:9" ht="15" customHeight="1" x14ac:dyDescent="0.25">
      <c r="F441" s="135" t="s">
        <v>982</v>
      </c>
      <c r="G441" s="140">
        <v>0.55000000000000004</v>
      </c>
      <c r="H441" s="87" t="s">
        <v>17</v>
      </c>
      <c r="I441" s="136">
        <v>5</v>
      </c>
    </row>
    <row r="442" spans="6:9" ht="15" customHeight="1" x14ac:dyDescent="0.25">
      <c r="F442" s="135" t="s">
        <v>983</v>
      </c>
      <c r="G442" s="140">
        <v>0.5</v>
      </c>
      <c r="H442" s="87" t="s">
        <v>17</v>
      </c>
      <c r="I442" s="136">
        <v>5</v>
      </c>
    </row>
    <row r="443" spans="6:9" ht="15" customHeight="1" x14ac:dyDescent="0.25">
      <c r="F443" s="135" t="s">
        <v>467</v>
      </c>
      <c r="G443" s="140">
        <v>0.78</v>
      </c>
      <c r="H443" s="87" t="s">
        <v>16</v>
      </c>
      <c r="I443" s="136">
        <v>5</v>
      </c>
    </row>
    <row r="444" spans="6:9" ht="15" customHeight="1" x14ac:dyDescent="0.25">
      <c r="F444" s="135" t="s">
        <v>984</v>
      </c>
      <c r="G444" s="140">
        <v>0.77</v>
      </c>
      <c r="H444" s="87" t="s">
        <v>777</v>
      </c>
      <c r="I444" s="136">
        <v>4</v>
      </c>
    </row>
    <row r="445" spans="6:9" ht="15" customHeight="1" x14ac:dyDescent="0.25">
      <c r="F445" s="135" t="s">
        <v>985</v>
      </c>
      <c r="G445" s="140">
        <v>0.83</v>
      </c>
      <c r="H445" s="87" t="s">
        <v>777</v>
      </c>
      <c r="I445" s="136">
        <v>4</v>
      </c>
    </row>
    <row r="446" spans="6:9" ht="15" customHeight="1" x14ac:dyDescent="0.25">
      <c r="F446" s="135" t="s">
        <v>986</v>
      </c>
      <c r="G446" s="140">
        <v>0.84</v>
      </c>
      <c r="H446" s="87" t="s">
        <v>777</v>
      </c>
      <c r="I446" s="136">
        <v>4</v>
      </c>
    </row>
    <row r="447" spans="6:9" ht="15" customHeight="1" x14ac:dyDescent="0.25">
      <c r="F447" s="135" t="s">
        <v>987</v>
      </c>
      <c r="G447" s="140">
        <v>0.81</v>
      </c>
      <c r="H447" s="87" t="s">
        <v>777</v>
      </c>
      <c r="I447" s="136">
        <v>4</v>
      </c>
    </row>
    <row r="448" spans="6:9" ht="15" customHeight="1" x14ac:dyDescent="0.25">
      <c r="F448" s="135" t="s">
        <v>988</v>
      </c>
      <c r="G448" s="140">
        <v>0.86</v>
      </c>
      <c r="H448" s="87" t="s">
        <v>777</v>
      </c>
      <c r="I448" s="136">
        <v>4</v>
      </c>
    </row>
    <row r="449" spans="6:9" ht="15" customHeight="1" x14ac:dyDescent="0.25">
      <c r="F449" s="135" t="s">
        <v>470</v>
      </c>
      <c r="G449" s="140">
        <v>0.87</v>
      </c>
      <c r="H449" s="87" t="s">
        <v>16</v>
      </c>
      <c r="I449" s="136">
        <v>5</v>
      </c>
    </row>
    <row r="450" spans="6:9" ht="15" customHeight="1" x14ac:dyDescent="0.25">
      <c r="F450" s="135" t="s">
        <v>989</v>
      </c>
      <c r="G450" s="140">
        <v>0.64</v>
      </c>
      <c r="H450" s="87" t="s">
        <v>17</v>
      </c>
      <c r="I450" s="136">
        <v>5</v>
      </c>
    </row>
    <row r="451" spans="6:9" ht="15" customHeight="1" x14ac:dyDescent="0.25">
      <c r="F451" s="135" t="s">
        <v>990</v>
      </c>
      <c r="G451" s="140">
        <v>0.76</v>
      </c>
      <c r="H451" s="87" t="s">
        <v>777</v>
      </c>
      <c r="I451" s="136">
        <v>4</v>
      </c>
    </row>
    <row r="452" spans="6:9" ht="15" customHeight="1" x14ac:dyDescent="0.25">
      <c r="F452" s="135" t="s">
        <v>991</v>
      </c>
      <c r="G452" s="140">
        <v>0.88</v>
      </c>
      <c r="H452" s="87" t="s">
        <v>777</v>
      </c>
      <c r="I452" s="136">
        <v>4</v>
      </c>
    </row>
    <row r="453" spans="6:9" ht="15" customHeight="1" x14ac:dyDescent="0.25">
      <c r="F453" s="135" t="s">
        <v>992</v>
      </c>
      <c r="G453" s="140">
        <v>0.77</v>
      </c>
      <c r="H453" s="87" t="s">
        <v>777</v>
      </c>
      <c r="I453" s="136">
        <v>4</v>
      </c>
    </row>
    <row r="454" spans="6:9" ht="15" customHeight="1" x14ac:dyDescent="0.25">
      <c r="F454" s="135" t="s">
        <v>993</v>
      </c>
      <c r="G454" s="140">
        <v>0.88</v>
      </c>
      <c r="H454" s="87" t="s">
        <v>777</v>
      </c>
      <c r="I454" s="136">
        <v>1</v>
      </c>
    </row>
    <row r="455" spans="6:9" ht="15" customHeight="1" x14ac:dyDescent="0.25">
      <c r="F455" s="135" t="s">
        <v>994</v>
      </c>
      <c r="G455" s="140">
        <v>0.8</v>
      </c>
      <c r="H455" s="87" t="s">
        <v>777</v>
      </c>
      <c r="I455" s="136">
        <v>4</v>
      </c>
    </row>
    <row r="456" spans="6:9" ht="15" customHeight="1" x14ac:dyDescent="0.25">
      <c r="F456" s="135" t="s">
        <v>995</v>
      </c>
      <c r="G456" s="140">
        <v>1.04</v>
      </c>
      <c r="H456" s="87" t="s">
        <v>777</v>
      </c>
      <c r="I456" s="136">
        <v>4</v>
      </c>
    </row>
    <row r="457" spans="6:9" ht="15" customHeight="1" x14ac:dyDescent="0.25">
      <c r="F457" s="135" t="s">
        <v>996</v>
      </c>
      <c r="G457" s="140">
        <v>0.73</v>
      </c>
      <c r="H457" s="87" t="s">
        <v>777</v>
      </c>
      <c r="I457" s="136">
        <v>4</v>
      </c>
    </row>
    <row r="458" spans="6:9" ht="15" customHeight="1" x14ac:dyDescent="0.25">
      <c r="F458" s="135" t="s">
        <v>510</v>
      </c>
      <c r="G458" s="140">
        <v>0.41</v>
      </c>
      <c r="H458" s="87" t="s">
        <v>777</v>
      </c>
      <c r="I458" s="136">
        <v>5</v>
      </c>
    </row>
    <row r="459" spans="6:9" ht="15" customHeight="1" x14ac:dyDescent="0.25">
      <c r="F459" s="135" t="s">
        <v>512</v>
      </c>
      <c r="G459" s="140">
        <v>0.81</v>
      </c>
      <c r="H459" s="87" t="s">
        <v>777</v>
      </c>
      <c r="I459" s="136">
        <v>5</v>
      </c>
    </row>
    <row r="460" spans="6:9" ht="15" customHeight="1" x14ac:dyDescent="0.25">
      <c r="F460" s="135" t="s">
        <v>997</v>
      </c>
      <c r="G460" s="140">
        <v>0.63</v>
      </c>
      <c r="H460" s="87" t="s">
        <v>17</v>
      </c>
      <c r="I460" s="136">
        <v>5</v>
      </c>
    </row>
    <row r="461" spans="6:9" ht="15" customHeight="1" x14ac:dyDescent="0.25">
      <c r="F461" s="135" t="s">
        <v>998</v>
      </c>
      <c r="G461" s="140">
        <v>0.4</v>
      </c>
      <c r="H461" s="87" t="s">
        <v>17</v>
      </c>
      <c r="I461" s="136">
        <v>5</v>
      </c>
    </row>
    <row r="462" spans="6:9" ht="15" customHeight="1" x14ac:dyDescent="0.25">
      <c r="F462" s="135" t="s">
        <v>999</v>
      </c>
      <c r="G462" s="140">
        <v>0.69</v>
      </c>
      <c r="H462" s="87" t="s">
        <v>777</v>
      </c>
      <c r="I462" s="136">
        <v>5</v>
      </c>
    </row>
    <row r="463" spans="6:9" ht="15" customHeight="1" x14ac:dyDescent="0.25">
      <c r="F463" s="135" t="s">
        <v>472</v>
      </c>
      <c r="G463" s="140" t="s">
        <v>1000</v>
      </c>
      <c r="H463" s="87" t="s">
        <v>16</v>
      </c>
      <c r="I463" s="136">
        <v>3</v>
      </c>
    </row>
    <row r="464" spans="6:9" ht="15" customHeight="1" x14ac:dyDescent="0.25">
      <c r="F464" s="135" t="s">
        <v>1001</v>
      </c>
      <c r="G464" s="140">
        <v>0.46</v>
      </c>
      <c r="H464" s="87" t="s">
        <v>17</v>
      </c>
      <c r="I464" s="136">
        <v>5</v>
      </c>
    </row>
    <row r="465" spans="6:9" ht="15" customHeight="1" x14ac:dyDescent="0.25">
      <c r="F465" s="135" t="s">
        <v>474</v>
      </c>
      <c r="G465" s="140">
        <v>0.45</v>
      </c>
      <c r="H465" s="87" t="s">
        <v>16</v>
      </c>
      <c r="I465" s="136">
        <v>5</v>
      </c>
    </row>
    <row r="466" spans="6:9" ht="15" customHeight="1" x14ac:dyDescent="0.25">
      <c r="F466" s="135" t="s">
        <v>517</v>
      </c>
      <c r="G466" s="140">
        <v>0.56000000000000005</v>
      </c>
      <c r="H466" s="87" t="s">
        <v>777</v>
      </c>
      <c r="I466" s="136">
        <v>5</v>
      </c>
    </row>
    <row r="467" spans="6:9" ht="15" customHeight="1" x14ac:dyDescent="0.25">
      <c r="F467" s="135" t="s">
        <v>1002</v>
      </c>
      <c r="G467" s="140">
        <v>0.79</v>
      </c>
      <c r="H467" s="87" t="s">
        <v>777</v>
      </c>
      <c r="I467" s="136">
        <v>5</v>
      </c>
    </row>
    <row r="468" spans="6:9" ht="15" customHeight="1" x14ac:dyDescent="0.25">
      <c r="F468" s="135" t="s">
        <v>1003</v>
      </c>
      <c r="G468" s="140">
        <v>0.5</v>
      </c>
      <c r="H468" s="87" t="s">
        <v>777</v>
      </c>
      <c r="I468" s="136">
        <v>5</v>
      </c>
    </row>
    <row r="469" spans="6:9" ht="15" customHeight="1" x14ac:dyDescent="0.25">
      <c r="F469" s="135" t="s">
        <v>524</v>
      </c>
      <c r="G469" s="140">
        <v>0.62</v>
      </c>
      <c r="H469" s="87" t="s">
        <v>777</v>
      </c>
      <c r="I469" s="136">
        <v>4</v>
      </c>
    </row>
    <row r="470" spans="6:9" ht="15" customHeight="1" x14ac:dyDescent="0.25">
      <c r="F470" s="135" t="s">
        <v>526</v>
      </c>
      <c r="G470" s="140">
        <v>0.59</v>
      </c>
      <c r="H470" s="87" t="s">
        <v>777</v>
      </c>
      <c r="I470" s="136">
        <v>5</v>
      </c>
    </row>
    <row r="471" spans="6:9" ht="15" customHeight="1" x14ac:dyDescent="0.25">
      <c r="F471" s="135" t="s">
        <v>1004</v>
      </c>
      <c r="G471" s="140">
        <v>0.53</v>
      </c>
      <c r="H471" s="87" t="s">
        <v>17</v>
      </c>
      <c r="I471" s="136">
        <v>5</v>
      </c>
    </row>
    <row r="472" spans="6:9" ht="15" customHeight="1" x14ac:dyDescent="0.25">
      <c r="F472" s="135" t="s">
        <v>1005</v>
      </c>
      <c r="G472" s="140">
        <v>0.7</v>
      </c>
      <c r="H472" s="87" t="s">
        <v>777</v>
      </c>
      <c r="I472" s="136">
        <v>5</v>
      </c>
    </row>
    <row r="473" spans="6:9" ht="15" customHeight="1" x14ac:dyDescent="0.25">
      <c r="F473" s="135" t="s">
        <v>1006</v>
      </c>
      <c r="G473" s="140">
        <v>0.71</v>
      </c>
      <c r="H473" s="87" t="s">
        <v>777</v>
      </c>
      <c r="I473" s="136">
        <v>1</v>
      </c>
    </row>
    <row r="474" spans="6:9" ht="15" customHeight="1" x14ac:dyDescent="0.25">
      <c r="F474" s="135" t="s">
        <v>530</v>
      </c>
      <c r="G474" s="140">
        <v>0.4</v>
      </c>
      <c r="H474" s="87" t="s">
        <v>777</v>
      </c>
      <c r="I474" s="136">
        <v>5</v>
      </c>
    </row>
    <row r="475" spans="6:9" ht="15" customHeight="1" x14ac:dyDescent="0.25">
      <c r="F475" s="135" t="s">
        <v>1007</v>
      </c>
      <c r="G475" s="140">
        <v>0.53</v>
      </c>
      <c r="H475" s="87" t="s">
        <v>17</v>
      </c>
      <c r="I475" s="136">
        <v>5</v>
      </c>
    </row>
    <row r="476" spans="6:9" ht="15" customHeight="1" x14ac:dyDescent="0.25">
      <c r="F476" s="135" t="s">
        <v>478</v>
      </c>
      <c r="G476" s="140">
        <v>0.41</v>
      </c>
      <c r="H476" s="87" t="s">
        <v>16</v>
      </c>
      <c r="I476" s="136">
        <v>5</v>
      </c>
    </row>
    <row r="477" spans="6:9" ht="15" customHeight="1" x14ac:dyDescent="0.25">
      <c r="F477" s="135" t="s">
        <v>1008</v>
      </c>
      <c r="G477" s="140">
        <v>0.52</v>
      </c>
      <c r="H477" s="87" t="s">
        <v>777</v>
      </c>
      <c r="I477" s="136">
        <v>5</v>
      </c>
    </row>
    <row r="478" spans="6:9" ht="15" customHeight="1" x14ac:dyDescent="0.25">
      <c r="F478" s="135" t="s">
        <v>533</v>
      </c>
      <c r="G478" s="140">
        <v>0.56999999999999995</v>
      </c>
      <c r="H478" s="87" t="s">
        <v>777</v>
      </c>
      <c r="I478" s="136">
        <v>5</v>
      </c>
    </row>
    <row r="479" spans="6:9" ht="15" customHeight="1" x14ac:dyDescent="0.25">
      <c r="F479" s="135" t="s">
        <v>1009</v>
      </c>
      <c r="G479" s="140">
        <v>0.45</v>
      </c>
      <c r="H479" s="87" t="s">
        <v>16</v>
      </c>
      <c r="I479" s="136">
        <v>5</v>
      </c>
    </row>
    <row r="480" spans="6:9" ht="15" customHeight="1" x14ac:dyDescent="0.25">
      <c r="F480" s="135" t="s">
        <v>1010</v>
      </c>
      <c r="G480" s="140">
        <v>0.64</v>
      </c>
      <c r="H480" s="87" t="s">
        <v>17</v>
      </c>
      <c r="I480" s="136">
        <v>5</v>
      </c>
    </row>
    <row r="481" spans="6:9" ht="15" customHeight="1" x14ac:dyDescent="0.25">
      <c r="F481" s="135" t="s">
        <v>1011</v>
      </c>
      <c r="G481" s="140">
        <v>0.56999999999999995</v>
      </c>
      <c r="H481" s="87" t="s">
        <v>777</v>
      </c>
      <c r="I481" s="136">
        <v>4</v>
      </c>
    </row>
    <row r="482" spans="6:9" ht="15" customHeight="1" x14ac:dyDescent="0.25">
      <c r="F482" s="135" t="s">
        <v>483</v>
      </c>
      <c r="G482" s="140">
        <v>0.62</v>
      </c>
      <c r="H482" s="87" t="s">
        <v>16</v>
      </c>
      <c r="I482" s="136">
        <v>5</v>
      </c>
    </row>
    <row r="483" spans="6:9" ht="15" customHeight="1" x14ac:dyDescent="0.25">
      <c r="F483" s="135" t="s">
        <v>536</v>
      </c>
      <c r="G483" s="140">
        <v>0.62</v>
      </c>
      <c r="H483" s="87" t="s">
        <v>777</v>
      </c>
      <c r="I483" s="136">
        <v>5</v>
      </c>
    </row>
    <row r="484" spans="6:9" ht="15" customHeight="1" x14ac:dyDescent="0.25">
      <c r="F484" s="135" t="s">
        <v>538</v>
      </c>
      <c r="G484" s="140">
        <v>0.55000000000000004</v>
      </c>
      <c r="H484" s="87" t="s">
        <v>777</v>
      </c>
      <c r="I484" s="136">
        <v>5</v>
      </c>
    </row>
    <row r="485" spans="6:9" ht="15" customHeight="1" x14ac:dyDescent="0.25">
      <c r="F485" s="135" t="s">
        <v>1012</v>
      </c>
      <c r="G485" s="140">
        <v>0.52</v>
      </c>
      <c r="H485" s="87" t="s">
        <v>17</v>
      </c>
      <c r="I485" s="136">
        <v>5</v>
      </c>
    </row>
    <row r="486" spans="6:9" ht="15" customHeight="1" x14ac:dyDescent="0.25">
      <c r="F486" s="135" t="s">
        <v>1013</v>
      </c>
      <c r="G486" s="140">
        <v>0.85</v>
      </c>
      <c r="H486" s="87" t="s">
        <v>777</v>
      </c>
      <c r="I486" s="136">
        <v>4</v>
      </c>
    </row>
    <row r="487" spans="6:9" ht="15" customHeight="1" x14ac:dyDescent="0.25">
      <c r="F487" s="135" t="s">
        <v>1014</v>
      </c>
      <c r="G487" s="140">
        <v>0.87</v>
      </c>
      <c r="H487" s="87" t="s">
        <v>777</v>
      </c>
      <c r="I487" s="136">
        <v>1</v>
      </c>
    </row>
    <row r="488" spans="6:9" ht="15" customHeight="1" x14ac:dyDescent="0.25">
      <c r="F488" s="135" t="s">
        <v>1015</v>
      </c>
      <c r="G488" s="140">
        <v>0.93</v>
      </c>
      <c r="H488" s="87" t="s">
        <v>777</v>
      </c>
      <c r="I488" s="136">
        <v>4</v>
      </c>
    </row>
    <row r="489" spans="6:9" ht="15" customHeight="1" x14ac:dyDescent="0.25">
      <c r="F489" s="135" t="s">
        <v>486</v>
      </c>
      <c r="G489" s="140">
        <v>0.78</v>
      </c>
      <c r="H489" s="87" t="s">
        <v>16</v>
      </c>
      <c r="I489" s="136">
        <v>5</v>
      </c>
    </row>
    <row r="490" spans="6:9" ht="15" customHeight="1" x14ac:dyDescent="0.25">
      <c r="F490" s="135" t="s">
        <v>1016</v>
      </c>
      <c r="G490" s="140">
        <v>0.76</v>
      </c>
      <c r="H490" s="87" t="s">
        <v>17</v>
      </c>
      <c r="I490" s="136">
        <v>5</v>
      </c>
    </row>
    <row r="491" spans="6:9" ht="15" customHeight="1" x14ac:dyDescent="0.25">
      <c r="F491" s="135" t="s">
        <v>1017</v>
      </c>
      <c r="G491" s="140">
        <v>0.56999999999999995</v>
      </c>
      <c r="H491" s="87" t="s">
        <v>777</v>
      </c>
      <c r="I491" s="136">
        <v>4</v>
      </c>
    </row>
    <row r="492" spans="6:9" ht="15" customHeight="1" x14ac:dyDescent="0.25">
      <c r="F492" s="135" t="s">
        <v>543</v>
      </c>
      <c r="G492" s="140">
        <v>0.63</v>
      </c>
      <c r="H492" s="87" t="s">
        <v>777</v>
      </c>
      <c r="I492" s="136">
        <v>5</v>
      </c>
    </row>
    <row r="493" spans="6:9" ht="15" customHeight="1" x14ac:dyDescent="0.25">
      <c r="F493" s="135" t="s">
        <v>489</v>
      </c>
      <c r="G493" s="140">
        <v>0.45</v>
      </c>
      <c r="H493" s="87" t="s">
        <v>16</v>
      </c>
      <c r="I493" s="136">
        <v>5</v>
      </c>
    </row>
    <row r="494" spans="6:9" ht="15" customHeight="1" x14ac:dyDescent="0.25">
      <c r="F494" s="135" t="s">
        <v>1018</v>
      </c>
      <c r="G494" s="140">
        <v>0.81</v>
      </c>
      <c r="H494" s="87" t="s">
        <v>777</v>
      </c>
      <c r="I494" s="136">
        <v>4</v>
      </c>
    </row>
    <row r="495" spans="6:9" ht="15" customHeight="1" x14ac:dyDescent="0.25">
      <c r="F495" s="135" t="s">
        <v>1019</v>
      </c>
      <c r="G495" s="140">
        <v>0.47</v>
      </c>
      <c r="H495" s="87" t="s">
        <v>17</v>
      </c>
      <c r="I495" s="136">
        <v>5</v>
      </c>
    </row>
    <row r="496" spans="6:9" ht="15" customHeight="1" x14ac:dyDescent="0.25">
      <c r="F496" s="135" t="s">
        <v>1020</v>
      </c>
      <c r="G496" s="140">
        <v>0.7</v>
      </c>
      <c r="H496" s="87" t="s">
        <v>777</v>
      </c>
      <c r="I496" s="136">
        <v>5</v>
      </c>
    </row>
    <row r="497" spans="6:9" ht="15" customHeight="1" x14ac:dyDescent="0.25">
      <c r="F497" s="135" t="s">
        <v>1021</v>
      </c>
      <c r="G497" s="140">
        <v>0.61</v>
      </c>
      <c r="H497" s="87" t="s">
        <v>777</v>
      </c>
      <c r="I497" s="136">
        <v>5</v>
      </c>
    </row>
    <row r="498" spans="6:9" ht="15" customHeight="1" x14ac:dyDescent="0.25">
      <c r="F498" s="135" t="s">
        <v>1022</v>
      </c>
      <c r="G498" s="140">
        <v>0.31</v>
      </c>
      <c r="H498" s="87" t="s">
        <v>777</v>
      </c>
      <c r="I498" s="136">
        <v>1</v>
      </c>
    </row>
    <row r="499" spans="6:9" ht="15" customHeight="1" x14ac:dyDescent="0.25">
      <c r="F499" s="135" t="s">
        <v>1023</v>
      </c>
      <c r="G499" s="140">
        <v>0.71</v>
      </c>
      <c r="H499" s="87" t="s">
        <v>777</v>
      </c>
      <c r="I499" s="136">
        <v>5</v>
      </c>
    </row>
    <row r="500" spans="6:9" ht="15" customHeight="1" x14ac:dyDescent="0.25">
      <c r="F500" s="135" t="s">
        <v>1024</v>
      </c>
      <c r="G500" s="140">
        <v>0.63</v>
      </c>
      <c r="H500" s="87" t="s">
        <v>17</v>
      </c>
      <c r="I500" s="136">
        <v>5</v>
      </c>
    </row>
    <row r="501" spans="6:9" ht="15" customHeight="1" x14ac:dyDescent="0.25">
      <c r="F501" s="135" t="s">
        <v>1025</v>
      </c>
      <c r="G501" s="140">
        <v>0.4</v>
      </c>
      <c r="H501" s="87" t="s">
        <v>17</v>
      </c>
      <c r="I501" s="136">
        <v>5</v>
      </c>
    </row>
    <row r="502" spans="6:9" ht="15" customHeight="1" x14ac:dyDescent="0.25">
      <c r="F502" s="135" t="s">
        <v>1026</v>
      </c>
      <c r="G502" s="140">
        <v>0.37</v>
      </c>
      <c r="H502" s="87" t="s">
        <v>17</v>
      </c>
      <c r="I502" s="136">
        <v>5</v>
      </c>
    </row>
    <row r="503" spans="6:9" ht="15" customHeight="1" x14ac:dyDescent="0.25">
      <c r="F503" s="135" t="s">
        <v>1027</v>
      </c>
      <c r="G503" s="140">
        <v>0.27</v>
      </c>
      <c r="H503" s="87" t="s">
        <v>17</v>
      </c>
      <c r="I503" s="136">
        <v>5</v>
      </c>
    </row>
    <row r="504" spans="6:9" ht="15" customHeight="1" x14ac:dyDescent="0.25">
      <c r="F504" s="135" t="s">
        <v>1028</v>
      </c>
      <c r="G504" s="140">
        <v>0.25</v>
      </c>
      <c r="H504" s="87" t="s">
        <v>17</v>
      </c>
      <c r="I504" s="136">
        <v>5</v>
      </c>
    </row>
    <row r="505" spans="6:9" ht="15" customHeight="1" x14ac:dyDescent="0.25">
      <c r="F505" s="135" t="s">
        <v>492</v>
      </c>
      <c r="G505" s="140">
        <v>0.77</v>
      </c>
      <c r="H505" s="87" t="s">
        <v>16</v>
      </c>
      <c r="I505" s="136">
        <v>5</v>
      </c>
    </row>
    <row r="506" spans="6:9" ht="15" customHeight="1" x14ac:dyDescent="0.25">
      <c r="F506" s="135" t="s">
        <v>1029</v>
      </c>
      <c r="G506" s="140" t="s">
        <v>1030</v>
      </c>
      <c r="H506" s="87" t="s">
        <v>17</v>
      </c>
      <c r="I506" s="136">
        <v>5</v>
      </c>
    </row>
    <row r="507" spans="6:9" ht="15" customHeight="1" x14ac:dyDescent="0.25">
      <c r="F507" s="135" t="s">
        <v>1031</v>
      </c>
      <c r="G507" s="140">
        <v>0.7</v>
      </c>
      <c r="H507" s="87" t="s">
        <v>777</v>
      </c>
      <c r="I507" s="136">
        <v>4</v>
      </c>
    </row>
    <row r="508" spans="6:9" ht="15" customHeight="1" x14ac:dyDescent="0.25">
      <c r="F508" s="135" t="s">
        <v>1032</v>
      </c>
      <c r="G508" s="140">
        <v>0.68</v>
      </c>
      <c r="H508" s="87" t="s">
        <v>777</v>
      </c>
      <c r="I508" s="136">
        <v>4</v>
      </c>
    </row>
    <row r="509" spans="6:9" ht="15" customHeight="1" x14ac:dyDescent="0.25">
      <c r="F509" s="135" t="s">
        <v>1033</v>
      </c>
      <c r="G509" s="140">
        <v>0.43</v>
      </c>
      <c r="H509" s="87" t="s">
        <v>17</v>
      </c>
      <c r="I509" s="136">
        <v>5</v>
      </c>
    </row>
    <row r="510" spans="6:9" ht="15" customHeight="1" x14ac:dyDescent="0.25">
      <c r="F510" s="135" t="s">
        <v>1034</v>
      </c>
      <c r="G510" s="140">
        <v>0.61</v>
      </c>
      <c r="H510" s="87" t="s">
        <v>777</v>
      </c>
      <c r="I510" s="136">
        <v>5</v>
      </c>
    </row>
    <row r="511" spans="6:9" ht="15" customHeight="1" x14ac:dyDescent="0.25">
      <c r="F511" s="135" t="s">
        <v>493</v>
      </c>
      <c r="G511" s="140">
        <v>0.7</v>
      </c>
      <c r="H511" s="87" t="s">
        <v>16</v>
      </c>
      <c r="I511" s="136">
        <v>5</v>
      </c>
    </row>
    <row r="512" spans="6:9" ht="15" customHeight="1" x14ac:dyDescent="0.25">
      <c r="F512" s="135" t="s">
        <v>494</v>
      </c>
      <c r="G512" s="140">
        <v>0.42</v>
      </c>
      <c r="H512" s="87" t="s">
        <v>16</v>
      </c>
      <c r="I512" s="136">
        <v>5</v>
      </c>
    </row>
    <row r="513" spans="6:9" ht="15" customHeight="1" x14ac:dyDescent="0.25">
      <c r="F513" s="135" t="s">
        <v>1035</v>
      </c>
      <c r="G513" s="140">
        <v>0.4</v>
      </c>
      <c r="H513" s="87" t="s">
        <v>17</v>
      </c>
      <c r="I513" s="136">
        <v>5</v>
      </c>
    </row>
    <row r="514" spans="6:9" ht="15" customHeight="1" x14ac:dyDescent="0.25">
      <c r="F514" s="135" t="s">
        <v>1036</v>
      </c>
      <c r="G514" s="140">
        <v>0.64</v>
      </c>
      <c r="H514" s="87" t="s">
        <v>17</v>
      </c>
      <c r="I514" s="136">
        <v>5</v>
      </c>
    </row>
    <row r="515" spans="6:9" ht="15" customHeight="1" x14ac:dyDescent="0.25">
      <c r="F515" s="135" t="s">
        <v>1037</v>
      </c>
      <c r="G515" s="140">
        <v>0.65</v>
      </c>
      <c r="H515" s="87" t="s">
        <v>777</v>
      </c>
      <c r="I515" s="136">
        <v>4</v>
      </c>
    </row>
    <row r="516" spans="6:9" ht="15" customHeight="1" x14ac:dyDescent="0.25">
      <c r="F516" s="135" t="s">
        <v>1038</v>
      </c>
      <c r="G516" s="140">
        <v>0.67</v>
      </c>
      <c r="H516" s="87" t="s">
        <v>777</v>
      </c>
      <c r="I516" s="136">
        <v>4</v>
      </c>
    </row>
    <row r="517" spans="6:9" ht="15" customHeight="1" x14ac:dyDescent="0.25">
      <c r="F517" s="135" t="s">
        <v>1039</v>
      </c>
      <c r="G517" s="140">
        <v>0.72</v>
      </c>
      <c r="H517" s="87" t="s">
        <v>16</v>
      </c>
      <c r="I517" s="136">
        <v>5</v>
      </c>
    </row>
    <row r="518" spans="6:9" ht="15" customHeight="1" x14ac:dyDescent="0.25">
      <c r="F518" s="135" t="s">
        <v>1040</v>
      </c>
      <c r="G518" s="140">
        <v>0.63</v>
      </c>
      <c r="H518" s="87" t="s">
        <v>17</v>
      </c>
      <c r="I518" s="136">
        <v>5</v>
      </c>
    </row>
    <row r="519" spans="6:9" ht="15" customHeight="1" x14ac:dyDescent="0.25">
      <c r="F519" s="135" t="s">
        <v>1041</v>
      </c>
      <c r="G519" s="140">
        <v>0.72</v>
      </c>
      <c r="H519" s="87" t="s">
        <v>17</v>
      </c>
      <c r="I519" s="136">
        <v>5</v>
      </c>
    </row>
    <row r="520" spans="6:9" ht="15" customHeight="1" x14ac:dyDescent="0.25">
      <c r="F520" s="135" t="s">
        <v>1042</v>
      </c>
      <c r="G520" s="140">
        <v>0.76</v>
      </c>
      <c r="H520" s="87" t="s">
        <v>777</v>
      </c>
      <c r="I520" s="136">
        <v>1</v>
      </c>
    </row>
    <row r="521" spans="6:9" ht="15" customHeight="1" x14ac:dyDescent="0.25">
      <c r="F521" s="135" t="s">
        <v>1043</v>
      </c>
      <c r="G521" s="140">
        <v>0.56000000000000005</v>
      </c>
      <c r="H521" s="87" t="s">
        <v>17</v>
      </c>
      <c r="I521" s="136">
        <v>5</v>
      </c>
    </row>
    <row r="522" spans="6:9" ht="15" customHeight="1" x14ac:dyDescent="0.25">
      <c r="F522" s="135" t="s">
        <v>496</v>
      </c>
      <c r="G522" s="140">
        <v>0.47</v>
      </c>
      <c r="H522" s="87" t="s">
        <v>16</v>
      </c>
      <c r="I522" s="136">
        <v>5</v>
      </c>
    </row>
    <row r="523" spans="6:9" ht="15" customHeight="1" x14ac:dyDescent="0.25">
      <c r="F523" s="135" t="s">
        <v>1044</v>
      </c>
      <c r="G523" s="140" t="s">
        <v>792</v>
      </c>
      <c r="H523" s="87" t="s">
        <v>16</v>
      </c>
      <c r="I523" s="136">
        <v>3</v>
      </c>
    </row>
    <row r="524" spans="6:9" ht="15" customHeight="1" x14ac:dyDescent="0.25">
      <c r="F524" s="135" t="s">
        <v>1045</v>
      </c>
      <c r="G524" s="140">
        <v>0.8</v>
      </c>
      <c r="H524" s="87" t="s">
        <v>777</v>
      </c>
      <c r="I524" s="136">
        <v>4</v>
      </c>
    </row>
    <row r="525" spans="6:9" ht="15" customHeight="1" x14ac:dyDescent="0.25">
      <c r="F525" s="135" t="s">
        <v>1046</v>
      </c>
      <c r="G525" s="140">
        <v>0.78</v>
      </c>
      <c r="H525" s="87" t="s">
        <v>777</v>
      </c>
      <c r="I525" s="136">
        <v>1</v>
      </c>
    </row>
    <row r="526" spans="6:9" ht="15" customHeight="1" x14ac:dyDescent="0.25">
      <c r="F526" s="135" t="s">
        <v>1047</v>
      </c>
      <c r="G526" s="140">
        <v>0.63</v>
      </c>
      <c r="H526" s="87" t="s">
        <v>777</v>
      </c>
      <c r="I526" s="136">
        <v>1</v>
      </c>
    </row>
    <row r="527" spans="6:9" ht="15" customHeight="1" x14ac:dyDescent="0.25">
      <c r="F527" s="135" t="s">
        <v>1048</v>
      </c>
      <c r="G527" s="140">
        <v>0.78</v>
      </c>
      <c r="H527" s="87" t="s">
        <v>777</v>
      </c>
      <c r="I527" s="136">
        <v>1</v>
      </c>
    </row>
    <row r="528" spans="6:9" ht="15" customHeight="1" x14ac:dyDescent="0.25">
      <c r="F528" s="135" t="s">
        <v>1049</v>
      </c>
      <c r="G528" s="140">
        <v>0.88</v>
      </c>
      <c r="H528" s="87" t="s">
        <v>777</v>
      </c>
      <c r="I528" s="136">
        <v>5</v>
      </c>
    </row>
    <row r="529" spans="6:9" ht="15" customHeight="1" x14ac:dyDescent="0.25">
      <c r="F529" s="135" t="s">
        <v>501</v>
      </c>
      <c r="G529" s="140">
        <v>0.23</v>
      </c>
      <c r="H529" s="87" t="s">
        <v>16</v>
      </c>
      <c r="I529" s="136">
        <v>5</v>
      </c>
    </row>
    <row r="530" spans="6:9" ht="15" customHeight="1" x14ac:dyDescent="0.25">
      <c r="F530" s="135" t="s">
        <v>1050</v>
      </c>
      <c r="G530" s="140">
        <v>0.73</v>
      </c>
      <c r="H530" s="87" t="s">
        <v>777</v>
      </c>
      <c r="I530" s="136">
        <v>5</v>
      </c>
    </row>
    <row r="531" spans="6:9" ht="15" customHeight="1" x14ac:dyDescent="0.25">
      <c r="F531" s="135" t="s">
        <v>1051</v>
      </c>
      <c r="G531" s="140">
        <v>0.55000000000000004</v>
      </c>
      <c r="H531" s="87" t="s">
        <v>777</v>
      </c>
      <c r="I531" s="136">
        <v>4</v>
      </c>
    </row>
    <row r="532" spans="6:9" ht="15" customHeight="1" x14ac:dyDescent="0.25">
      <c r="F532" s="135" t="s">
        <v>1052</v>
      </c>
      <c r="G532" s="140">
        <v>0.53</v>
      </c>
      <c r="H532" s="87" t="s">
        <v>17</v>
      </c>
      <c r="I532" s="136">
        <v>5</v>
      </c>
    </row>
    <row r="533" spans="6:9" ht="15" customHeight="1" x14ac:dyDescent="0.25">
      <c r="F533" s="135" t="s">
        <v>1053</v>
      </c>
      <c r="G533" s="140">
        <v>0.78</v>
      </c>
      <c r="H533" s="87" t="s">
        <v>777</v>
      </c>
      <c r="I533" s="136">
        <v>1</v>
      </c>
    </row>
    <row r="534" spans="6:9" ht="15" customHeight="1" x14ac:dyDescent="0.25">
      <c r="F534" s="135" t="s">
        <v>1054</v>
      </c>
      <c r="G534" s="140">
        <v>0.78</v>
      </c>
      <c r="H534" s="87" t="s">
        <v>777</v>
      </c>
      <c r="I534" s="136">
        <v>1</v>
      </c>
    </row>
    <row r="535" spans="6:9" ht="15" customHeight="1" x14ac:dyDescent="0.25">
      <c r="F535" s="135" t="s">
        <v>503</v>
      </c>
      <c r="G535" s="140">
        <v>0.63</v>
      </c>
      <c r="H535" s="87" t="s">
        <v>16</v>
      </c>
      <c r="I535" s="136">
        <v>5</v>
      </c>
    </row>
    <row r="536" spans="6:9" ht="15" customHeight="1" x14ac:dyDescent="0.25">
      <c r="F536" s="135" t="s">
        <v>1055</v>
      </c>
      <c r="G536" s="140">
        <v>0.61</v>
      </c>
      <c r="H536" s="87" t="s">
        <v>777</v>
      </c>
      <c r="I536" s="136">
        <v>1</v>
      </c>
    </row>
    <row r="537" spans="6:9" ht="15" customHeight="1" x14ac:dyDescent="0.25">
      <c r="F537" s="135" t="s">
        <v>1056</v>
      </c>
      <c r="G537" s="140">
        <v>0.56999999999999995</v>
      </c>
      <c r="H537" s="87" t="s">
        <v>777</v>
      </c>
      <c r="I537" s="136">
        <v>5</v>
      </c>
    </row>
    <row r="538" spans="6:9" ht="15" customHeight="1" x14ac:dyDescent="0.25">
      <c r="F538" s="135" t="s">
        <v>1057</v>
      </c>
      <c r="G538" s="140">
        <v>0.53</v>
      </c>
      <c r="H538" s="87" t="s">
        <v>17</v>
      </c>
      <c r="I538" s="136">
        <v>5</v>
      </c>
    </row>
    <row r="539" spans="6:9" ht="15" customHeight="1" x14ac:dyDescent="0.25">
      <c r="F539" s="135" t="s">
        <v>1058</v>
      </c>
      <c r="G539" s="140">
        <v>0.62</v>
      </c>
      <c r="H539" s="87" t="s">
        <v>17</v>
      </c>
      <c r="I539" s="136">
        <v>5</v>
      </c>
    </row>
    <row r="540" spans="6:9" ht="15" customHeight="1" x14ac:dyDescent="0.25">
      <c r="F540" s="135" t="s">
        <v>505</v>
      </c>
      <c r="G540" s="140">
        <v>0.32</v>
      </c>
      <c r="H540" s="87" t="s">
        <v>16</v>
      </c>
      <c r="I540" s="136">
        <v>5</v>
      </c>
    </row>
    <row r="541" spans="6:9" ht="15" customHeight="1" x14ac:dyDescent="0.25">
      <c r="F541" s="135" t="s">
        <v>1059</v>
      </c>
      <c r="G541" s="140">
        <v>0.55000000000000004</v>
      </c>
      <c r="H541" s="87" t="s">
        <v>17</v>
      </c>
      <c r="I541" s="136">
        <v>5</v>
      </c>
    </row>
    <row r="542" spans="6:9" ht="15" customHeight="1" x14ac:dyDescent="0.25">
      <c r="F542" s="135" t="s">
        <v>506</v>
      </c>
      <c r="G542" s="140">
        <v>0.65</v>
      </c>
      <c r="H542" s="87" t="s">
        <v>16</v>
      </c>
      <c r="I542" s="136">
        <v>5</v>
      </c>
    </row>
    <row r="543" spans="6:9" ht="15" customHeight="1" x14ac:dyDescent="0.25">
      <c r="F543" s="135" t="s">
        <v>1060</v>
      </c>
      <c r="G543" s="140">
        <v>0.86</v>
      </c>
      <c r="H543" s="87" t="s">
        <v>17</v>
      </c>
      <c r="I543" s="136">
        <v>5</v>
      </c>
    </row>
    <row r="544" spans="6:9" ht="15" customHeight="1" x14ac:dyDescent="0.25">
      <c r="F544" s="135" t="s">
        <v>1061</v>
      </c>
      <c r="G544" s="140">
        <v>0.3</v>
      </c>
      <c r="H544" s="87" t="s">
        <v>17</v>
      </c>
      <c r="I544" s="136">
        <v>5</v>
      </c>
    </row>
    <row r="545" spans="6:9" ht="15" customHeight="1" x14ac:dyDescent="0.25">
      <c r="F545" s="135" t="s">
        <v>508</v>
      </c>
      <c r="G545" s="140">
        <v>0.78</v>
      </c>
      <c r="H545" s="87" t="s">
        <v>16</v>
      </c>
      <c r="I545" s="136">
        <v>5</v>
      </c>
    </row>
    <row r="546" spans="6:9" ht="15" customHeight="1" x14ac:dyDescent="0.25">
      <c r="F546" s="135" t="s">
        <v>1062</v>
      </c>
      <c r="G546" s="140">
        <v>0.63</v>
      </c>
      <c r="H546" s="87" t="s">
        <v>777</v>
      </c>
      <c r="I546" s="136">
        <v>4</v>
      </c>
    </row>
    <row r="547" spans="6:9" ht="15" customHeight="1" x14ac:dyDescent="0.25">
      <c r="F547" s="135" t="s">
        <v>1063</v>
      </c>
      <c r="G547" s="140">
        <v>0.63</v>
      </c>
      <c r="H547" s="87" t="s">
        <v>777</v>
      </c>
      <c r="I547" s="136">
        <v>4</v>
      </c>
    </row>
    <row r="548" spans="6:9" ht="15" customHeight="1" x14ac:dyDescent="0.25">
      <c r="F548" s="135" t="s">
        <v>1064</v>
      </c>
      <c r="G548" s="140" t="s">
        <v>1065</v>
      </c>
      <c r="H548" s="87" t="s">
        <v>17</v>
      </c>
      <c r="I548" s="136">
        <v>5</v>
      </c>
    </row>
    <row r="549" spans="6:9" ht="15" customHeight="1" x14ac:dyDescent="0.25">
      <c r="F549" s="135" t="s">
        <v>1066</v>
      </c>
      <c r="G549" s="140">
        <v>0.32</v>
      </c>
      <c r="H549" s="87" t="s">
        <v>16</v>
      </c>
      <c r="I549" s="136">
        <v>5</v>
      </c>
    </row>
    <row r="550" spans="6:9" ht="15" customHeight="1" x14ac:dyDescent="0.25">
      <c r="F550" s="135" t="s">
        <v>513</v>
      </c>
      <c r="G550" s="140">
        <v>0.78</v>
      </c>
      <c r="H550" s="87" t="s">
        <v>16</v>
      </c>
      <c r="I550" s="136">
        <v>5</v>
      </c>
    </row>
    <row r="551" spans="6:9" ht="15" customHeight="1" x14ac:dyDescent="0.25">
      <c r="F551" s="135" t="s">
        <v>515</v>
      </c>
      <c r="G551" s="140">
        <v>0.72</v>
      </c>
      <c r="H551" s="87" t="s">
        <v>16</v>
      </c>
      <c r="I551" s="136">
        <v>5</v>
      </c>
    </row>
    <row r="552" spans="6:9" ht="15" customHeight="1" x14ac:dyDescent="0.25">
      <c r="F552" s="135" t="s">
        <v>1067</v>
      </c>
      <c r="G552" s="140">
        <v>0.61</v>
      </c>
      <c r="H552" s="87" t="s">
        <v>777</v>
      </c>
      <c r="I552" s="136">
        <v>4</v>
      </c>
    </row>
    <row r="553" spans="6:9" ht="15" customHeight="1" x14ac:dyDescent="0.25">
      <c r="F553" s="135" t="s">
        <v>1068</v>
      </c>
      <c r="G553" s="140">
        <v>0.61</v>
      </c>
      <c r="H553" s="87" t="s">
        <v>777</v>
      </c>
      <c r="I553" s="136">
        <v>1</v>
      </c>
    </row>
    <row r="554" spans="6:9" ht="15" customHeight="1" x14ac:dyDescent="0.25">
      <c r="F554" s="135" t="s">
        <v>1069</v>
      </c>
      <c r="G554" s="140">
        <v>0.67</v>
      </c>
      <c r="H554" s="87" t="s">
        <v>777</v>
      </c>
      <c r="I554" s="136">
        <v>4</v>
      </c>
    </row>
    <row r="555" spans="6:9" ht="15" customHeight="1" x14ac:dyDescent="0.25">
      <c r="F555" s="135" t="s">
        <v>1070</v>
      </c>
      <c r="G555" s="140">
        <v>0.56999999999999995</v>
      </c>
      <c r="H555" s="87" t="s">
        <v>777</v>
      </c>
      <c r="I555" s="136">
        <v>1</v>
      </c>
    </row>
    <row r="556" spans="6:9" ht="15" customHeight="1" x14ac:dyDescent="0.25">
      <c r="F556" s="135" t="s">
        <v>1071</v>
      </c>
      <c r="G556" s="140">
        <v>0.32</v>
      </c>
      <c r="H556" s="87" t="s">
        <v>17</v>
      </c>
      <c r="I556" s="136">
        <v>5</v>
      </c>
    </row>
    <row r="557" spans="6:9" ht="15" customHeight="1" x14ac:dyDescent="0.25">
      <c r="F557" s="135" t="s">
        <v>1072</v>
      </c>
      <c r="G557" s="140">
        <v>0.32</v>
      </c>
      <c r="H557" s="87" t="s">
        <v>777</v>
      </c>
      <c r="I557" s="136">
        <v>1</v>
      </c>
    </row>
    <row r="558" spans="6:9" ht="15" customHeight="1" x14ac:dyDescent="0.25">
      <c r="F558" s="135" t="s">
        <v>1073</v>
      </c>
      <c r="G558" s="140">
        <v>0.7</v>
      </c>
      <c r="H558" s="87" t="s">
        <v>17</v>
      </c>
      <c r="I558" s="136">
        <v>5</v>
      </c>
    </row>
    <row r="559" spans="6:9" ht="15" customHeight="1" x14ac:dyDescent="0.25">
      <c r="F559" s="135" t="s">
        <v>1074</v>
      </c>
      <c r="G559" s="140">
        <v>0.66</v>
      </c>
      <c r="H559" s="87" t="s">
        <v>777</v>
      </c>
      <c r="I559" s="136">
        <v>5</v>
      </c>
    </row>
    <row r="560" spans="6:9" ht="15" customHeight="1" x14ac:dyDescent="0.25">
      <c r="F560" s="135" t="s">
        <v>518</v>
      </c>
      <c r="G560" s="140">
        <v>0.53</v>
      </c>
      <c r="H560" s="87" t="s">
        <v>16</v>
      </c>
      <c r="I560" s="136">
        <v>5</v>
      </c>
    </row>
    <row r="561" spans="6:9" ht="15" customHeight="1" x14ac:dyDescent="0.25">
      <c r="F561" s="135" t="s">
        <v>1075</v>
      </c>
      <c r="G561" s="140">
        <v>0.43</v>
      </c>
      <c r="H561" s="87" t="s">
        <v>777</v>
      </c>
      <c r="I561" s="136">
        <v>5</v>
      </c>
    </row>
    <row r="562" spans="6:9" ht="15" customHeight="1" x14ac:dyDescent="0.25">
      <c r="F562" s="135" t="s">
        <v>520</v>
      </c>
      <c r="G562" s="140">
        <v>0.7</v>
      </c>
      <c r="H562" s="87" t="s">
        <v>16</v>
      </c>
      <c r="I562" s="136">
        <v>5</v>
      </c>
    </row>
    <row r="563" spans="6:9" ht="15" customHeight="1" x14ac:dyDescent="0.25">
      <c r="F563" s="135" t="s">
        <v>522</v>
      </c>
      <c r="G563" s="140">
        <v>0.57999999999999996</v>
      </c>
      <c r="H563" s="87" t="s">
        <v>16</v>
      </c>
      <c r="I563" s="136">
        <v>5</v>
      </c>
    </row>
    <row r="564" spans="6:9" ht="15" customHeight="1" x14ac:dyDescent="0.25">
      <c r="F564" s="135" t="s">
        <v>1076</v>
      </c>
      <c r="G564" s="140">
        <v>0.55000000000000004</v>
      </c>
      <c r="H564" s="87" t="s">
        <v>17</v>
      </c>
      <c r="I564" s="136">
        <v>5</v>
      </c>
    </row>
    <row r="565" spans="6:9" ht="15" customHeight="1" x14ac:dyDescent="0.25">
      <c r="F565" s="135" t="s">
        <v>1077</v>
      </c>
      <c r="G565" s="140">
        <v>0.5</v>
      </c>
      <c r="H565" s="87" t="s">
        <v>17</v>
      </c>
      <c r="I565" s="136">
        <v>5</v>
      </c>
    </row>
    <row r="566" spans="6:9" ht="15" customHeight="1" x14ac:dyDescent="0.25">
      <c r="F566" s="135" t="s">
        <v>525</v>
      </c>
      <c r="G566" s="140">
        <v>0.56000000000000005</v>
      </c>
      <c r="H566" s="87" t="s">
        <v>16</v>
      </c>
      <c r="I566" s="136">
        <v>5</v>
      </c>
    </row>
    <row r="567" spans="6:9" ht="15" customHeight="1" x14ac:dyDescent="0.25">
      <c r="F567" s="135" t="s">
        <v>1078</v>
      </c>
      <c r="G567" s="140">
        <v>0.59</v>
      </c>
      <c r="H567" s="87" t="s">
        <v>17</v>
      </c>
      <c r="I567" s="136">
        <v>5</v>
      </c>
    </row>
    <row r="568" spans="6:9" ht="15" customHeight="1" x14ac:dyDescent="0.25">
      <c r="F568" s="135" t="s">
        <v>1079</v>
      </c>
      <c r="G568" s="140">
        <v>0.6</v>
      </c>
      <c r="H568" s="87" t="s">
        <v>777</v>
      </c>
      <c r="I568" s="136">
        <v>5</v>
      </c>
    </row>
    <row r="569" spans="6:9" ht="15" customHeight="1" x14ac:dyDescent="0.25">
      <c r="F569" s="135" t="s">
        <v>1080</v>
      </c>
      <c r="G569" s="140">
        <v>0.77</v>
      </c>
      <c r="H569" s="87" t="s">
        <v>17</v>
      </c>
      <c r="I569" s="136">
        <v>5</v>
      </c>
    </row>
    <row r="570" spans="6:9" ht="15" customHeight="1" x14ac:dyDescent="0.25">
      <c r="F570" s="135" t="s">
        <v>1081</v>
      </c>
      <c r="G570" s="140">
        <v>0.68</v>
      </c>
      <c r="H570" s="87" t="s">
        <v>777</v>
      </c>
      <c r="I570" s="136">
        <v>4</v>
      </c>
    </row>
    <row r="571" spans="6:9" ht="15" customHeight="1" x14ac:dyDescent="0.25">
      <c r="F571" s="135" t="s">
        <v>527</v>
      </c>
      <c r="G571" s="140">
        <v>0.87</v>
      </c>
      <c r="H571" s="87" t="s">
        <v>16</v>
      </c>
      <c r="I571" s="136">
        <v>5</v>
      </c>
    </row>
    <row r="572" spans="6:9" ht="15" customHeight="1" x14ac:dyDescent="0.25">
      <c r="F572" s="135" t="s">
        <v>1082</v>
      </c>
      <c r="G572" s="140">
        <v>0.71</v>
      </c>
      <c r="H572" s="87" t="s">
        <v>777</v>
      </c>
      <c r="I572" s="136">
        <v>4</v>
      </c>
    </row>
    <row r="573" spans="6:9" ht="15" customHeight="1" x14ac:dyDescent="0.25">
      <c r="F573" s="135" t="s">
        <v>1083</v>
      </c>
      <c r="G573" s="140">
        <v>0.71</v>
      </c>
      <c r="H573" s="87" t="s">
        <v>777</v>
      </c>
      <c r="I573" s="136">
        <v>4</v>
      </c>
    </row>
    <row r="574" spans="6:9" ht="15" customHeight="1" x14ac:dyDescent="0.25">
      <c r="F574" s="135" t="s">
        <v>1084</v>
      </c>
      <c r="G574" s="140">
        <v>0.68</v>
      </c>
      <c r="H574" s="87" t="s">
        <v>17</v>
      </c>
      <c r="I574" s="136">
        <v>5</v>
      </c>
    </row>
    <row r="575" spans="6:9" ht="15" customHeight="1" x14ac:dyDescent="0.25">
      <c r="F575" s="135" t="s">
        <v>1085</v>
      </c>
      <c r="G575" s="140">
        <v>0.38</v>
      </c>
      <c r="H575" s="87" t="s">
        <v>777</v>
      </c>
      <c r="I575" s="136">
        <v>4</v>
      </c>
    </row>
    <row r="576" spans="6:9" ht="15" customHeight="1" x14ac:dyDescent="0.25">
      <c r="F576" s="135" t="s">
        <v>1086</v>
      </c>
      <c r="G576" s="140">
        <v>0.4</v>
      </c>
      <c r="H576" s="87" t="s">
        <v>777</v>
      </c>
      <c r="I576" s="136">
        <v>4</v>
      </c>
    </row>
    <row r="577" spans="6:9" ht="15" customHeight="1" x14ac:dyDescent="0.25">
      <c r="F577" s="135" t="s">
        <v>1087</v>
      </c>
      <c r="G577" s="140">
        <v>0.44</v>
      </c>
      <c r="H577" s="87" t="s">
        <v>777</v>
      </c>
      <c r="I577" s="136">
        <v>4</v>
      </c>
    </row>
    <row r="578" spans="6:9" ht="15" customHeight="1" x14ac:dyDescent="0.25">
      <c r="F578" s="135" t="s">
        <v>1088</v>
      </c>
      <c r="G578" s="140">
        <v>0.55000000000000004</v>
      </c>
      <c r="H578" s="87" t="s">
        <v>777</v>
      </c>
      <c r="I578" s="136">
        <v>4</v>
      </c>
    </row>
    <row r="579" spans="6:9" ht="15" customHeight="1" x14ac:dyDescent="0.25">
      <c r="F579" s="135" t="s">
        <v>545</v>
      </c>
      <c r="G579" s="140">
        <v>0.34</v>
      </c>
      <c r="H579" s="87" t="s">
        <v>17</v>
      </c>
      <c r="I579" s="136">
        <v>5</v>
      </c>
    </row>
    <row r="580" spans="6:9" ht="15" customHeight="1" x14ac:dyDescent="0.25">
      <c r="F580" s="135" t="s">
        <v>1089</v>
      </c>
      <c r="G580" s="140">
        <v>0.4</v>
      </c>
      <c r="H580" s="87" t="s">
        <v>777</v>
      </c>
      <c r="I580" s="136">
        <v>4</v>
      </c>
    </row>
    <row r="581" spans="6:9" ht="15" customHeight="1" x14ac:dyDescent="0.25">
      <c r="F581" s="135" t="s">
        <v>1090</v>
      </c>
      <c r="G581" s="140">
        <v>0.59</v>
      </c>
      <c r="H581" s="87" t="s">
        <v>777</v>
      </c>
      <c r="I581" s="136">
        <v>1</v>
      </c>
    </row>
    <row r="582" spans="6:9" ht="15" customHeight="1" x14ac:dyDescent="0.25">
      <c r="F582" s="135" t="s">
        <v>531</v>
      </c>
      <c r="G582" s="140">
        <v>0.56000000000000005</v>
      </c>
      <c r="H582" s="87" t="s">
        <v>16</v>
      </c>
      <c r="I582" s="136">
        <v>5</v>
      </c>
    </row>
    <row r="583" spans="6:9" ht="15" customHeight="1" x14ac:dyDescent="0.25">
      <c r="F583" s="135" t="s">
        <v>1091</v>
      </c>
      <c r="G583" s="140">
        <v>0.56000000000000005</v>
      </c>
      <c r="H583" s="87" t="s">
        <v>16</v>
      </c>
      <c r="I583" s="136">
        <v>5</v>
      </c>
    </row>
    <row r="584" spans="6:9" ht="15" customHeight="1" x14ac:dyDescent="0.25">
      <c r="F584" s="135" t="s">
        <v>1092</v>
      </c>
      <c r="G584" s="140">
        <v>0.55000000000000004</v>
      </c>
      <c r="H584" s="87" t="s">
        <v>17</v>
      </c>
      <c r="I584" s="136">
        <v>5</v>
      </c>
    </row>
    <row r="585" spans="6:9" ht="15" customHeight="1" x14ac:dyDescent="0.25">
      <c r="F585" s="135" t="s">
        <v>1093</v>
      </c>
      <c r="G585" s="140">
        <v>0.89</v>
      </c>
      <c r="H585" s="87" t="s">
        <v>777</v>
      </c>
      <c r="I585" s="136">
        <v>4</v>
      </c>
    </row>
    <row r="586" spans="6:9" ht="15" customHeight="1" x14ac:dyDescent="0.25">
      <c r="F586" s="135" t="s">
        <v>1094</v>
      </c>
      <c r="G586" s="140">
        <v>0.91</v>
      </c>
      <c r="H586" s="87" t="s">
        <v>777</v>
      </c>
      <c r="I586" s="136">
        <v>4</v>
      </c>
    </row>
    <row r="587" spans="6:9" ht="15" customHeight="1" x14ac:dyDescent="0.25">
      <c r="F587" s="135" t="s">
        <v>1095</v>
      </c>
      <c r="G587" s="140">
        <v>0.89</v>
      </c>
      <c r="H587" s="87" t="s">
        <v>777</v>
      </c>
      <c r="I587" s="136">
        <v>1</v>
      </c>
    </row>
    <row r="588" spans="6:9" ht="15" customHeight="1" x14ac:dyDescent="0.25">
      <c r="F588" s="135" t="s">
        <v>546</v>
      </c>
      <c r="G588" s="140">
        <v>0.62</v>
      </c>
      <c r="H588" s="87" t="s">
        <v>17</v>
      </c>
      <c r="I588" s="136">
        <v>5</v>
      </c>
    </row>
    <row r="589" spans="6:9" ht="15" customHeight="1" x14ac:dyDescent="0.25">
      <c r="F589" s="135" t="s">
        <v>1096</v>
      </c>
      <c r="G589" s="140">
        <v>0.56000000000000005</v>
      </c>
      <c r="H589" s="87" t="s">
        <v>17</v>
      </c>
      <c r="I589" s="136">
        <v>5</v>
      </c>
    </row>
    <row r="590" spans="6:9" ht="15" customHeight="1" x14ac:dyDescent="0.25">
      <c r="F590" s="135" t="s">
        <v>1097</v>
      </c>
      <c r="G590" s="140">
        <v>0.43</v>
      </c>
      <c r="H590" s="87" t="s">
        <v>777</v>
      </c>
      <c r="I590" s="136">
        <v>1</v>
      </c>
    </row>
    <row r="591" spans="6:9" ht="15" customHeight="1" x14ac:dyDescent="0.25">
      <c r="F591" s="135" t="s">
        <v>534</v>
      </c>
      <c r="G591" s="140">
        <v>0.78</v>
      </c>
      <c r="H591" s="87" t="s">
        <v>16</v>
      </c>
      <c r="I591" s="136">
        <v>5</v>
      </c>
    </row>
    <row r="592" spans="6:9" ht="15" customHeight="1" x14ac:dyDescent="0.25">
      <c r="F592" s="135" t="s">
        <v>537</v>
      </c>
      <c r="G592" s="140">
        <v>0.78</v>
      </c>
      <c r="H592" s="87" t="s">
        <v>16</v>
      </c>
      <c r="I592" s="136">
        <v>5</v>
      </c>
    </row>
    <row r="593" spans="6:9" ht="15" customHeight="1" x14ac:dyDescent="0.25">
      <c r="F593" s="135" t="s">
        <v>1098</v>
      </c>
      <c r="G593" s="140" t="s">
        <v>1099</v>
      </c>
      <c r="H593" s="87" t="s">
        <v>777</v>
      </c>
      <c r="I593" s="136">
        <v>5</v>
      </c>
    </row>
    <row r="594" spans="6:9" ht="15" customHeight="1" x14ac:dyDescent="0.25">
      <c r="F594" s="135" t="s">
        <v>1100</v>
      </c>
      <c r="G594" s="140">
        <v>0.65</v>
      </c>
      <c r="H594" s="87" t="s">
        <v>777</v>
      </c>
      <c r="I594" s="136">
        <v>5</v>
      </c>
    </row>
    <row r="595" spans="6:9" ht="15" customHeight="1" x14ac:dyDescent="0.25">
      <c r="F595" s="135" t="s">
        <v>1101</v>
      </c>
      <c r="G595" s="140">
        <v>0.59</v>
      </c>
      <c r="H595" s="87" t="s">
        <v>777</v>
      </c>
      <c r="I595" s="136">
        <v>5</v>
      </c>
    </row>
    <row r="596" spans="6:9" ht="15" customHeight="1" x14ac:dyDescent="0.25">
      <c r="F596" s="135" t="s">
        <v>1102</v>
      </c>
      <c r="G596" s="140">
        <v>0.66</v>
      </c>
      <c r="H596" s="87" t="s">
        <v>777</v>
      </c>
      <c r="I596" s="136">
        <v>5</v>
      </c>
    </row>
    <row r="597" spans="6:9" ht="15" customHeight="1" x14ac:dyDescent="0.25">
      <c r="F597" s="135" t="s">
        <v>549</v>
      </c>
      <c r="G597" s="140">
        <v>0.56000000000000005</v>
      </c>
      <c r="H597" s="87" t="s">
        <v>17</v>
      </c>
      <c r="I597" s="136">
        <v>5</v>
      </c>
    </row>
    <row r="598" spans="6:9" ht="15" customHeight="1" x14ac:dyDescent="0.25">
      <c r="F598" s="135" t="s">
        <v>539</v>
      </c>
      <c r="G598" s="140">
        <v>0.76</v>
      </c>
      <c r="H598" s="87" t="s">
        <v>16</v>
      </c>
      <c r="I598" s="136">
        <v>5</v>
      </c>
    </row>
    <row r="599" spans="6:9" ht="15" customHeight="1" x14ac:dyDescent="0.25">
      <c r="F599" s="135" t="s">
        <v>551</v>
      </c>
      <c r="G599" s="140">
        <v>0.53</v>
      </c>
      <c r="H599" s="87" t="s">
        <v>17</v>
      </c>
      <c r="I599" s="136">
        <v>5</v>
      </c>
    </row>
    <row r="600" spans="6:9" ht="15" customHeight="1" x14ac:dyDescent="0.25">
      <c r="F600" s="135" t="s">
        <v>1103</v>
      </c>
      <c r="G600" s="140">
        <v>0.77</v>
      </c>
      <c r="H600" s="87" t="s">
        <v>777</v>
      </c>
      <c r="I600" s="136">
        <v>4</v>
      </c>
    </row>
    <row r="601" spans="6:9" ht="15" customHeight="1" x14ac:dyDescent="0.25">
      <c r="F601" s="135" t="s">
        <v>541</v>
      </c>
      <c r="G601" s="140">
        <v>0.7</v>
      </c>
      <c r="H601" s="87" t="s">
        <v>16</v>
      </c>
      <c r="I601" s="136">
        <v>5</v>
      </c>
    </row>
    <row r="602" spans="6:9" ht="15" customHeight="1" x14ac:dyDescent="0.25">
      <c r="F602" s="135" t="s">
        <v>552</v>
      </c>
      <c r="G602" s="140">
        <v>0.51</v>
      </c>
      <c r="H602" s="87" t="s">
        <v>777</v>
      </c>
      <c r="I602" s="136">
        <v>5</v>
      </c>
    </row>
    <row r="603" spans="6:9" ht="15" customHeight="1" x14ac:dyDescent="0.25">
      <c r="F603" s="135" t="s">
        <v>552</v>
      </c>
      <c r="G603" s="140">
        <v>0.48</v>
      </c>
      <c r="H603" s="87" t="s">
        <v>17</v>
      </c>
      <c r="I603" s="136">
        <v>5</v>
      </c>
    </row>
    <row r="604" spans="6:9" ht="15" customHeight="1" x14ac:dyDescent="0.25">
      <c r="F604" s="135" t="s">
        <v>554</v>
      </c>
      <c r="G604" s="140" t="s">
        <v>1104</v>
      </c>
      <c r="H604" s="87" t="s">
        <v>17</v>
      </c>
      <c r="I604" s="136">
        <v>5</v>
      </c>
    </row>
    <row r="605" spans="6:9" ht="15" customHeight="1" x14ac:dyDescent="0.25">
      <c r="F605" s="135" t="s">
        <v>555</v>
      </c>
      <c r="G605" s="140">
        <v>0.54</v>
      </c>
      <c r="H605" s="87" t="s">
        <v>17</v>
      </c>
      <c r="I605" s="136">
        <v>5</v>
      </c>
    </row>
    <row r="606" spans="6:9" ht="15" customHeight="1" x14ac:dyDescent="0.25">
      <c r="F606" s="135" t="s">
        <v>1105</v>
      </c>
      <c r="G606" s="140">
        <v>0.55000000000000004</v>
      </c>
      <c r="H606" s="87" t="s">
        <v>777</v>
      </c>
      <c r="I606" s="136">
        <v>5</v>
      </c>
    </row>
    <row r="607" spans="6:9" ht="15" customHeight="1" x14ac:dyDescent="0.25">
      <c r="F607" s="135" t="s">
        <v>1106</v>
      </c>
      <c r="G607" s="140">
        <v>0.45</v>
      </c>
      <c r="H607" s="87" t="s">
        <v>777</v>
      </c>
      <c r="I607" s="136">
        <v>5</v>
      </c>
    </row>
    <row r="608" spans="6:9" ht="15" customHeight="1" x14ac:dyDescent="0.25">
      <c r="F608" s="135" t="s">
        <v>1107</v>
      </c>
      <c r="G608" s="140">
        <v>0.68</v>
      </c>
      <c r="H608" s="87" t="s">
        <v>777</v>
      </c>
      <c r="I608" s="136">
        <v>4</v>
      </c>
    </row>
    <row r="609" spans="6:9" ht="15" customHeight="1" x14ac:dyDescent="0.25">
      <c r="F609" s="135" t="s">
        <v>1108</v>
      </c>
      <c r="G609" s="140">
        <v>0.86</v>
      </c>
      <c r="H609" s="87" t="s">
        <v>777</v>
      </c>
      <c r="I609" s="136">
        <v>1</v>
      </c>
    </row>
    <row r="610" spans="6:9" ht="15" customHeight="1" x14ac:dyDescent="0.25">
      <c r="F610" s="135" t="s">
        <v>1109</v>
      </c>
      <c r="G610" s="140">
        <v>0.75</v>
      </c>
      <c r="H610" s="87" t="s">
        <v>777</v>
      </c>
      <c r="I610" s="136">
        <v>4</v>
      </c>
    </row>
    <row r="611" spans="6:9" ht="15" customHeight="1" x14ac:dyDescent="0.25">
      <c r="F611" s="135" t="s">
        <v>544</v>
      </c>
      <c r="G611" s="140">
        <v>0.56000000000000005</v>
      </c>
      <c r="H611" s="87" t="s">
        <v>16</v>
      </c>
      <c r="I611" s="136">
        <v>5</v>
      </c>
    </row>
    <row r="612" spans="6:9" ht="15" customHeight="1" x14ac:dyDescent="0.25">
      <c r="F612" s="135" t="s">
        <v>1110</v>
      </c>
      <c r="G612" s="140">
        <v>0.96</v>
      </c>
      <c r="H612" s="87" t="s">
        <v>777</v>
      </c>
      <c r="I612" s="136">
        <v>5</v>
      </c>
    </row>
    <row r="613" spans="6:9" ht="15" customHeight="1" x14ac:dyDescent="0.25">
      <c r="F613" s="135" t="s">
        <v>556</v>
      </c>
      <c r="G613" s="140">
        <v>0.21</v>
      </c>
      <c r="H613" s="87" t="s">
        <v>17</v>
      </c>
      <c r="I613" s="136">
        <v>5</v>
      </c>
    </row>
    <row r="614" spans="6:9" ht="15" customHeight="1" x14ac:dyDescent="0.25">
      <c r="F614" s="135" t="s">
        <v>1111</v>
      </c>
      <c r="G614" s="140">
        <v>0.56000000000000005</v>
      </c>
      <c r="H614" s="87" t="s">
        <v>777</v>
      </c>
      <c r="I614" s="136">
        <v>5</v>
      </c>
    </row>
    <row r="615" spans="6:9" ht="15" customHeight="1" x14ac:dyDescent="0.25">
      <c r="F615" s="135" t="s">
        <v>1112</v>
      </c>
      <c r="G615" s="140">
        <v>0.36</v>
      </c>
      <c r="H615" s="87" t="s">
        <v>777</v>
      </c>
      <c r="I615" s="136">
        <v>1</v>
      </c>
    </row>
    <row r="616" spans="6:9" ht="15" customHeight="1" x14ac:dyDescent="0.25">
      <c r="F616" s="135" t="s">
        <v>1113</v>
      </c>
      <c r="G616" s="140">
        <v>0.49</v>
      </c>
      <c r="H616" s="87" t="s">
        <v>777</v>
      </c>
      <c r="I616" s="136">
        <v>1</v>
      </c>
    </row>
    <row r="617" spans="6:9" ht="15" customHeight="1" x14ac:dyDescent="0.25">
      <c r="F617" s="135" t="s">
        <v>557</v>
      </c>
      <c r="G617" s="140">
        <v>0.51</v>
      </c>
      <c r="H617" s="87" t="s">
        <v>17</v>
      </c>
      <c r="I617" s="136">
        <v>5</v>
      </c>
    </row>
    <row r="618" spans="6:9" ht="15" customHeight="1" x14ac:dyDescent="0.25">
      <c r="F618" s="135" t="s">
        <v>1114</v>
      </c>
      <c r="G618" s="140">
        <v>0.7</v>
      </c>
      <c r="H618" s="87" t="s">
        <v>16</v>
      </c>
      <c r="I618" s="136">
        <v>5</v>
      </c>
    </row>
    <row r="619" spans="6:9" ht="15" customHeight="1" x14ac:dyDescent="0.25">
      <c r="F619" s="135" t="s">
        <v>1115</v>
      </c>
      <c r="G619" s="140">
        <v>0.59</v>
      </c>
      <c r="H619" s="87" t="s">
        <v>17</v>
      </c>
      <c r="I619" s="136">
        <v>5</v>
      </c>
    </row>
    <row r="620" spans="6:9" ht="15" customHeight="1" x14ac:dyDescent="0.25">
      <c r="F620" s="135" t="s">
        <v>1116</v>
      </c>
      <c r="G620" s="140">
        <v>0.7</v>
      </c>
      <c r="H620" s="87" t="s">
        <v>777</v>
      </c>
      <c r="I620" s="136">
        <v>5</v>
      </c>
    </row>
    <row r="621" spans="6:9" ht="15" customHeight="1" x14ac:dyDescent="0.25">
      <c r="F621" s="135" t="s">
        <v>1117</v>
      </c>
      <c r="G621" s="140" t="s">
        <v>1118</v>
      </c>
      <c r="H621" s="87" t="s">
        <v>777</v>
      </c>
      <c r="I621" s="136">
        <v>5</v>
      </c>
    </row>
    <row r="622" spans="6:9" ht="15" customHeight="1" x14ac:dyDescent="0.25">
      <c r="F622" s="135" t="s">
        <v>1119</v>
      </c>
      <c r="G622" s="140">
        <v>0.44</v>
      </c>
      <c r="H622" s="87" t="s">
        <v>777</v>
      </c>
      <c r="I622" s="136">
        <v>1</v>
      </c>
    </row>
    <row r="623" spans="6:9" ht="15" customHeight="1" x14ac:dyDescent="0.25">
      <c r="F623" s="135" t="s">
        <v>1120</v>
      </c>
      <c r="G623" s="140">
        <v>0.56999999999999995</v>
      </c>
      <c r="H623" s="87" t="s">
        <v>777</v>
      </c>
      <c r="I623" s="136">
        <v>1</v>
      </c>
    </row>
    <row r="624" spans="6:9" ht="15" customHeight="1" x14ac:dyDescent="0.25">
      <c r="F624" s="135" t="s">
        <v>1121</v>
      </c>
      <c r="G624" s="140">
        <v>0.43</v>
      </c>
      <c r="H624" s="87" t="s">
        <v>17</v>
      </c>
      <c r="I624" s="136">
        <v>5</v>
      </c>
    </row>
    <row r="625" spans="6:9" ht="15" customHeight="1" x14ac:dyDescent="0.25">
      <c r="F625" s="135" t="s">
        <v>1122</v>
      </c>
      <c r="G625" s="140">
        <v>0.36</v>
      </c>
      <c r="H625" s="87" t="s">
        <v>16</v>
      </c>
      <c r="I625" s="136">
        <v>5</v>
      </c>
    </row>
    <row r="626" spans="6:9" ht="15" customHeight="1" x14ac:dyDescent="0.25">
      <c r="F626" s="135" t="s">
        <v>558</v>
      </c>
      <c r="G626" s="140">
        <v>0.51</v>
      </c>
      <c r="H626" s="87" t="s">
        <v>17</v>
      </c>
      <c r="I626" s="136">
        <v>5</v>
      </c>
    </row>
    <row r="627" spans="6:9" ht="15" customHeight="1" x14ac:dyDescent="0.25">
      <c r="F627" s="135" t="s">
        <v>1123</v>
      </c>
      <c r="G627" s="140">
        <v>0.66</v>
      </c>
      <c r="H627" s="87" t="s">
        <v>16</v>
      </c>
      <c r="I627" s="136">
        <v>5</v>
      </c>
    </row>
    <row r="628" spans="6:9" ht="15" customHeight="1" x14ac:dyDescent="0.25">
      <c r="F628" s="135" t="s">
        <v>559</v>
      </c>
      <c r="G628" s="140">
        <v>0.38</v>
      </c>
      <c r="H628" s="87" t="s">
        <v>17</v>
      </c>
      <c r="I628" s="136">
        <v>5</v>
      </c>
    </row>
    <row r="629" spans="6:9" ht="15" customHeight="1" x14ac:dyDescent="0.25">
      <c r="F629" s="135" t="s">
        <v>1124</v>
      </c>
      <c r="G629" s="140">
        <v>0.54</v>
      </c>
      <c r="H629" s="87" t="s">
        <v>17</v>
      </c>
      <c r="I629" s="136">
        <v>5</v>
      </c>
    </row>
    <row r="630" spans="6:9" ht="15" customHeight="1" x14ac:dyDescent="0.25">
      <c r="F630" s="135" t="s">
        <v>1125</v>
      </c>
      <c r="G630" s="140" t="s">
        <v>1126</v>
      </c>
      <c r="H630" s="87" t="s">
        <v>777</v>
      </c>
      <c r="I630" s="136">
        <v>1</v>
      </c>
    </row>
    <row r="631" spans="6:9" ht="15" customHeight="1" x14ac:dyDescent="0.25">
      <c r="F631" s="135" t="s">
        <v>1127</v>
      </c>
      <c r="G631" s="140">
        <v>0.32</v>
      </c>
      <c r="H631" s="87" t="s">
        <v>777</v>
      </c>
      <c r="I631" s="136">
        <v>5</v>
      </c>
    </row>
    <row r="632" spans="6:9" ht="15" customHeight="1" x14ac:dyDescent="0.25">
      <c r="F632" s="135" t="s">
        <v>1128</v>
      </c>
      <c r="G632" s="140">
        <v>0.66</v>
      </c>
      <c r="H632" s="87" t="s">
        <v>777</v>
      </c>
      <c r="I632" s="136">
        <v>1</v>
      </c>
    </row>
    <row r="633" spans="6:9" ht="15" customHeight="1" x14ac:dyDescent="0.25">
      <c r="F633" s="135" t="s">
        <v>1129</v>
      </c>
      <c r="G633" s="140">
        <v>0.81</v>
      </c>
      <c r="H633" s="87" t="s">
        <v>777</v>
      </c>
      <c r="I633" s="136">
        <v>4</v>
      </c>
    </row>
    <row r="634" spans="6:9" ht="15" customHeight="1" x14ac:dyDescent="0.25">
      <c r="F634" s="135" t="s">
        <v>1130</v>
      </c>
      <c r="G634" s="140">
        <v>0.87</v>
      </c>
      <c r="H634" s="87" t="s">
        <v>777</v>
      </c>
      <c r="I634" s="136">
        <v>4</v>
      </c>
    </row>
    <row r="635" spans="6:9" ht="15" customHeight="1" x14ac:dyDescent="0.25">
      <c r="F635" s="135" t="s">
        <v>1131</v>
      </c>
      <c r="G635" s="140">
        <v>0.9</v>
      </c>
      <c r="H635" s="87" t="s">
        <v>777</v>
      </c>
      <c r="I635" s="136">
        <v>4</v>
      </c>
    </row>
    <row r="636" spans="6:9" ht="15" customHeight="1" x14ac:dyDescent="0.25">
      <c r="F636" s="135" t="s">
        <v>1132</v>
      </c>
      <c r="G636" s="140">
        <v>0.64</v>
      </c>
      <c r="H636" s="87" t="s">
        <v>777</v>
      </c>
      <c r="I636" s="136">
        <v>4</v>
      </c>
    </row>
    <row r="637" spans="6:9" ht="15" customHeight="1" x14ac:dyDescent="0.25">
      <c r="F637" s="135" t="s">
        <v>1133</v>
      </c>
      <c r="G637" s="140">
        <v>0.65</v>
      </c>
      <c r="H637" s="87" t="s">
        <v>777</v>
      </c>
      <c r="I637" s="136">
        <v>4</v>
      </c>
    </row>
    <row r="638" spans="6:9" ht="15" customHeight="1" x14ac:dyDescent="0.25">
      <c r="F638" s="135" t="s">
        <v>562</v>
      </c>
      <c r="G638" s="140">
        <v>0.47</v>
      </c>
      <c r="H638" s="87" t="s">
        <v>17</v>
      </c>
      <c r="I638" s="136">
        <v>5</v>
      </c>
    </row>
    <row r="639" spans="6:9" ht="15" customHeight="1" x14ac:dyDescent="0.25">
      <c r="F639" s="135" t="s">
        <v>1134</v>
      </c>
      <c r="G639" s="140">
        <v>0.63</v>
      </c>
      <c r="H639" s="87" t="s">
        <v>16</v>
      </c>
      <c r="I639" s="136">
        <v>5</v>
      </c>
    </row>
    <row r="640" spans="6:9" ht="15" customHeight="1" x14ac:dyDescent="0.25">
      <c r="F640" s="135" t="s">
        <v>564</v>
      </c>
      <c r="G640" s="140">
        <v>0.96</v>
      </c>
      <c r="H640" s="87" t="s">
        <v>17</v>
      </c>
      <c r="I640" s="136">
        <v>5</v>
      </c>
    </row>
    <row r="641" spans="6:9" ht="15" customHeight="1" x14ac:dyDescent="0.25">
      <c r="F641" s="135" t="s">
        <v>1135</v>
      </c>
      <c r="G641" s="140" t="s">
        <v>1136</v>
      </c>
      <c r="H641" s="87" t="s">
        <v>777</v>
      </c>
      <c r="I641" s="136">
        <v>5</v>
      </c>
    </row>
    <row r="642" spans="6:9" ht="15" customHeight="1" x14ac:dyDescent="0.25">
      <c r="F642" s="135" t="s">
        <v>1137</v>
      </c>
      <c r="G642" s="140">
        <v>0.54</v>
      </c>
      <c r="H642" s="87" t="s">
        <v>777</v>
      </c>
      <c r="I642" s="136">
        <v>4</v>
      </c>
    </row>
    <row r="643" spans="6:9" ht="15" customHeight="1" x14ac:dyDescent="0.25">
      <c r="F643" s="135" t="s">
        <v>1138</v>
      </c>
      <c r="G643" s="140">
        <v>0.65</v>
      </c>
      <c r="H643" s="87" t="s">
        <v>777</v>
      </c>
      <c r="I643" s="136">
        <v>4</v>
      </c>
    </row>
    <row r="644" spans="6:9" ht="15" customHeight="1" x14ac:dyDescent="0.25">
      <c r="F644" s="135" t="s">
        <v>1139</v>
      </c>
      <c r="G644" s="140" t="s">
        <v>1140</v>
      </c>
      <c r="H644" s="87" t="s">
        <v>777</v>
      </c>
      <c r="I644" s="136">
        <v>1</v>
      </c>
    </row>
    <row r="645" spans="6:9" ht="15" customHeight="1" x14ac:dyDescent="0.25">
      <c r="F645" s="135" t="s">
        <v>1141</v>
      </c>
      <c r="G645" s="140">
        <v>0.71</v>
      </c>
      <c r="H645" s="87" t="s">
        <v>777</v>
      </c>
      <c r="I645" s="136">
        <v>1</v>
      </c>
    </row>
    <row r="646" spans="6:9" ht="15" customHeight="1" x14ac:dyDescent="0.25">
      <c r="F646" s="135" t="s">
        <v>1142</v>
      </c>
      <c r="G646" s="140">
        <v>0.63</v>
      </c>
      <c r="H646" s="87" t="s">
        <v>16</v>
      </c>
      <c r="I646" s="136">
        <v>5</v>
      </c>
    </row>
    <row r="647" spans="6:9" ht="15" customHeight="1" x14ac:dyDescent="0.25">
      <c r="F647" s="135" t="s">
        <v>566</v>
      </c>
      <c r="G647" s="140">
        <v>0.67</v>
      </c>
      <c r="H647" s="87" t="s">
        <v>17</v>
      </c>
      <c r="I647" s="136">
        <v>5</v>
      </c>
    </row>
    <row r="648" spans="6:9" ht="15" customHeight="1" x14ac:dyDescent="0.25">
      <c r="F648" s="135" t="s">
        <v>1143</v>
      </c>
      <c r="G648" s="140" t="s">
        <v>1144</v>
      </c>
      <c r="H648" s="87" t="s">
        <v>16</v>
      </c>
      <c r="I648" s="136">
        <v>3</v>
      </c>
    </row>
    <row r="649" spans="6:9" ht="15" customHeight="1" x14ac:dyDescent="0.25">
      <c r="F649" s="135" t="s">
        <v>1145</v>
      </c>
      <c r="G649" s="140">
        <v>0.56999999999999995</v>
      </c>
      <c r="H649" s="87" t="s">
        <v>777</v>
      </c>
      <c r="I649" s="136">
        <v>1</v>
      </c>
    </row>
    <row r="650" spans="6:9" ht="15" customHeight="1" x14ac:dyDescent="0.25">
      <c r="F650" s="135" t="s">
        <v>1146</v>
      </c>
      <c r="G650" s="140">
        <v>0.66</v>
      </c>
      <c r="H650" s="87" t="s">
        <v>777</v>
      </c>
      <c r="I650" s="136">
        <v>4</v>
      </c>
    </row>
    <row r="651" spans="6:9" ht="15" customHeight="1" x14ac:dyDescent="0.25">
      <c r="F651" s="135" t="s">
        <v>1147</v>
      </c>
      <c r="G651" s="140">
        <v>0.52</v>
      </c>
      <c r="H651" s="87" t="s">
        <v>16</v>
      </c>
      <c r="I651" s="136">
        <v>5</v>
      </c>
    </row>
    <row r="652" spans="6:9" ht="15" customHeight="1" x14ac:dyDescent="0.25">
      <c r="F652" s="135" t="s">
        <v>1147</v>
      </c>
      <c r="G652" s="140">
        <v>0.62</v>
      </c>
      <c r="H652" s="87" t="s">
        <v>777</v>
      </c>
      <c r="I652" s="136">
        <v>1</v>
      </c>
    </row>
    <row r="653" spans="6:9" ht="15" customHeight="1" x14ac:dyDescent="0.25">
      <c r="F653" s="135" t="s">
        <v>1148</v>
      </c>
      <c r="G653" s="140" t="s">
        <v>1149</v>
      </c>
      <c r="H653" s="87" t="s">
        <v>16</v>
      </c>
      <c r="I653" s="136">
        <v>3</v>
      </c>
    </row>
    <row r="654" spans="6:9" ht="15" customHeight="1" x14ac:dyDescent="0.25">
      <c r="F654" s="135" t="s">
        <v>1150</v>
      </c>
      <c r="G654" s="140">
        <v>0.5</v>
      </c>
      <c r="H654" s="87" t="s">
        <v>777</v>
      </c>
      <c r="I654" s="136">
        <v>5</v>
      </c>
    </row>
    <row r="655" spans="6:9" ht="15" customHeight="1" x14ac:dyDescent="0.25">
      <c r="F655" s="135" t="s">
        <v>1151</v>
      </c>
      <c r="G655" s="140">
        <v>0.69</v>
      </c>
      <c r="H655" s="87" t="s">
        <v>777</v>
      </c>
      <c r="I655" s="136">
        <v>4</v>
      </c>
    </row>
    <row r="656" spans="6:9" ht="15" customHeight="1" x14ac:dyDescent="0.25">
      <c r="F656" s="135" t="s">
        <v>1152</v>
      </c>
      <c r="G656" s="140">
        <v>0.57999999999999996</v>
      </c>
      <c r="H656" s="87" t="s">
        <v>777</v>
      </c>
      <c r="I656" s="136">
        <v>5</v>
      </c>
    </row>
    <row r="657" spans="6:9" ht="15" customHeight="1" x14ac:dyDescent="0.25">
      <c r="F657" s="135" t="s">
        <v>1153</v>
      </c>
      <c r="G657" s="140">
        <v>0.57999999999999996</v>
      </c>
      <c r="H657" s="87" t="s">
        <v>777</v>
      </c>
      <c r="I657" s="136">
        <v>4</v>
      </c>
    </row>
    <row r="658" spans="6:9" ht="15" customHeight="1" x14ac:dyDescent="0.25">
      <c r="F658" s="135" t="s">
        <v>1154</v>
      </c>
      <c r="G658" s="140">
        <v>0.67</v>
      </c>
      <c r="H658" s="87" t="s">
        <v>777</v>
      </c>
      <c r="I658" s="136">
        <v>4</v>
      </c>
    </row>
    <row r="659" spans="6:9" ht="15" customHeight="1" x14ac:dyDescent="0.25">
      <c r="F659" s="135" t="s">
        <v>1155</v>
      </c>
      <c r="G659" s="140">
        <v>0.45</v>
      </c>
      <c r="H659" s="87" t="s">
        <v>777</v>
      </c>
      <c r="I659" s="136">
        <v>1</v>
      </c>
    </row>
    <row r="660" spans="6:9" ht="15" customHeight="1" x14ac:dyDescent="0.25">
      <c r="F660" s="135" t="s">
        <v>1156</v>
      </c>
      <c r="G660" s="140" t="s">
        <v>894</v>
      </c>
      <c r="H660" s="87" t="s">
        <v>777</v>
      </c>
      <c r="I660" s="136">
        <v>1</v>
      </c>
    </row>
    <row r="661" spans="6:9" ht="15" customHeight="1" x14ac:dyDescent="0.25">
      <c r="F661" s="135" t="s">
        <v>1157</v>
      </c>
      <c r="G661" s="140">
        <v>0.43</v>
      </c>
      <c r="H661" s="87" t="s">
        <v>777</v>
      </c>
      <c r="I661" s="136">
        <v>1</v>
      </c>
    </row>
    <row r="662" spans="6:9" ht="15" customHeight="1" x14ac:dyDescent="0.25">
      <c r="F662" s="135" t="s">
        <v>1158</v>
      </c>
      <c r="G662" s="140">
        <v>0.37</v>
      </c>
      <c r="H662" s="87" t="s">
        <v>777</v>
      </c>
      <c r="I662" s="136">
        <v>4</v>
      </c>
    </row>
    <row r="663" spans="6:9" ht="15" customHeight="1" x14ac:dyDescent="0.25">
      <c r="F663" s="135" t="s">
        <v>547</v>
      </c>
      <c r="G663" s="140">
        <v>0.71</v>
      </c>
      <c r="H663" s="87" t="s">
        <v>777</v>
      </c>
      <c r="I663" s="136">
        <v>5</v>
      </c>
    </row>
    <row r="664" spans="6:9" ht="15" customHeight="1" x14ac:dyDescent="0.25">
      <c r="F664" s="135" t="s">
        <v>548</v>
      </c>
      <c r="G664" s="140">
        <v>0.61</v>
      </c>
      <c r="H664" s="87" t="s">
        <v>777</v>
      </c>
      <c r="I664" s="136">
        <v>5</v>
      </c>
    </row>
    <row r="665" spans="6:9" ht="15" customHeight="1" x14ac:dyDescent="0.25">
      <c r="F665" s="135" t="s">
        <v>550</v>
      </c>
      <c r="G665" s="140">
        <v>0.67</v>
      </c>
      <c r="H665" s="87" t="s">
        <v>777</v>
      </c>
      <c r="I665" s="136">
        <v>5</v>
      </c>
    </row>
    <row r="666" spans="6:9" ht="15" customHeight="1" x14ac:dyDescent="0.25">
      <c r="F666" s="135" t="s">
        <v>1159</v>
      </c>
      <c r="G666" s="140">
        <v>0.7</v>
      </c>
      <c r="H666" s="87" t="s">
        <v>17</v>
      </c>
      <c r="I666" s="136">
        <v>5</v>
      </c>
    </row>
    <row r="667" spans="6:9" ht="15" customHeight="1" x14ac:dyDescent="0.25">
      <c r="F667" s="135" t="s">
        <v>568</v>
      </c>
      <c r="G667" s="140">
        <v>0.51</v>
      </c>
      <c r="H667" s="87" t="s">
        <v>17</v>
      </c>
      <c r="I667" s="136">
        <v>5</v>
      </c>
    </row>
    <row r="668" spans="6:9" ht="15" customHeight="1" x14ac:dyDescent="0.25">
      <c r="F668" s="135" t="s">
        <v>1160</v>
      </c>
      <c r="G668" s="140">
        <v>0.78</v>
      </c>
      <c r="H668" s="87" t="s">
        <v>16</v>
      </c>
      <c r="I668" s="136">
        <v>5</v>
      </c>
    </row>
    <row r="669" spans="6:9" ht="15" customHeight="1" x14ac:dyDescent="0.25">
      <c r="F669" s="135" t="s">
        <v>553</v>
      </c>
      <c r="G669" s="140">
        <v>0.55000000000000004</v>
      </c>
      <c r="H669" s="87" t="s">
        <v>777</v>
      </c>
      <c r="I669" s="136">
        <v>5</v>
      </c>
    </row>
    <row r="670" spans="6:9" ht="15" customHeight="1" x14ac:dyDescent="0.25">
      <c r="F670" s="135" t="s">
        <v>1161</v>
      </c>
      <c r="G670" s="140">
        <v>0.47</v>
      </c>
      <c r="H670" s="87" t="s">
        <v>16</v>
      </c>
      <c r="I670" s="136">
        <v>5</v>
      </c>
    </row>
    <row r="671" spans="6:9" ht="15" customHeight="1" x14ac:dyDescent="0.25">
      <c r="F671" s="135" t="s">
        <v>1162</v>
      </c>
      <c r="G671" s="140">
        <v>0.6</v>
      </c>
      <c r="H671" s="87" t="s">
        <v>777</v>
      </c>
      <c r="I671" s="136">
        <v>1</v>
      </c>
    </row>
    <row r="672" spans="6:9" ht="15" customHeight="1" x14ac:dyDescent="0.25">
      <c r="F672" s="135" t="s">
        <v>1163</v>
      </c>
      <c r="G672" s="140">
        <v>0.89</v>
      </c>
      <c r="H672" s="87" t="s">
        <v>777</v>
      </c>
      <c r="I672" s="136">
        <v>4</v>
      </c>
    </row>
    <row r="673" spans="6:9" ht="15" customHeight="1" x14ac:dyDescent="0.25">
      <c r="F673" s="135" t="s">
        <v>1164</v>
      </c>
      <c r="G673" s="140">
        <v>0.2</v>
      </c>
      <c r="H673" s="87" t="s">
        <v>16</v>
      </c>
      <c r="I673" s="136">
        <v>5</v>
      </c>
    </row>
    <row r="674" spans="6:9" ht="15" customHeight="1" x14ac:dyDescent="0.25">
      <c r="F674" s="135" t="s">
        <v>1165</v>
      </c>
      <c r="G674" s="140">
        <v>0.52</v>
      </c>
      <c r="H674" s="87" t="s">
        <v>777</v>
      </c>
      <c r="I674" s="136">
        <v>4</v>
      </c>
    </row>
    <row r="675" spans="6:9" ht="15" customHeight="1" x14ac:dyDescent="0.25">
      <c r="F675" s="135" t="s">
        <v>1166</v>
      </c>
      <c r="G675" s="140">
        <v>0.77</v>
      </c>
      <c r="H675" s="87" t="s">
        <v>777</v>
      </c>
      <c r="I675" s="136">
        <v>4</v>
      </c>
    </row>
    <row r="676" spans="6:9" ht="15" customHeight="1" x14ac:dyDescent="0.25">
      <c r="F676" s="135" t="s">
        <v>1167</v>
      </c>
      <c r="G676" s="140">
        <v>0.56999999999999995</v>
      </c>
      <c r="H676" s="87" t="s">
        <v>777</v>
      </c>
      <c r="I676" s="136">
        <v>4</v>
      </c>
    </row>
    <row r="677" spans="6:9" ht="15" customHeight="1" x14ac:dyDescent="0.25">
      <c r="F677" s="135" t="s">
        <v>1168</v>
      </c>
      <c r="G677" s="140">
        <v>0.74</v>
      </c>
      <c r="H677" s="87" t="s">
        <v>16</v>
      </c>
      <c r="I677" s="136">
        <v>5</v>
      </c>
    </row>
    <row r="678" spans="6:9" ht="15" customHeight="1" x14ac:dyDescent="0.25">
      <c r="F678" s="135" t="s">
        <v>1169</v>
      </c>
      <c r="G678" s="140">
        <v>0.77</v>
      </c>
      <c r="H678" s="87" t="s">
        <v>777</v>
      </c>
      <c r="I678" s="136">
        <v>4</v>
      </c>
    </row>
    <row r="679" spans="6:9" ht="15" customHeight="1" x14ac:dyDescent="0.25">
      <c r="F679" s="135" t="s">
        <v>570</v>
      </c>
      <c r="G679" s="140" t="s">
        <v>1170</v>
      </c>
      <c r="H679" s="87" t="s">
        <v>17</v>
      </c>
      <c r="I679" s="136">
        <v>5</v>
      </c>
    </row>
    <row r="680" spans="6:9" ht="15" customHeight="1" x14ac:dyDescent="0.25">
      <c r="F680" s="135" t="s">
        <v>571</v>
      </c>
      <c r="G680" s="140" t="s">
        <v>1171</v>
      </c>
      <c r="H680" s="87" t="s">
        <v>17</v>
      </c>
      <c r="I680" s="136">
        <v>5</v>
      </c>
    </row>
    <row r="681" spans="6:9" ht="15" customHeight="1" x14ac:dyDescent="0.25">
      <c r="F681" s="135" t="s">
        <v>572</v>
      </c>
      <c r="G681" s="140">
        <v>0.43</v>
      </c>
      <c r="H681" s="87" t="s">
        <v>17</v>
      </c>
      <c r="I681" s="136">
        <v>5</v>
      </c>
    </row>
    <row r="682" spans="6:9" ht="15" customHeight="1" x14ac:dyDescent="0.25">
      <c r="F682" s="135" t="s">
        <v>1172</v>
      </c>
      <c r="G682" s="140">
        <v>0.53</v>
      </c>
      <c r="H682" s="87" t="s">
        <v>16</v>
      </c>
      <c r="I682" s="136">
        <v>5</v>
      </c>
    </row>
    <row r="683" spans="6:9" ht="15" customHeight="1" x14ac:dyDescent="0.25">
      <c r="F683" s="135" t="s">
        <v>573</v>
      </c>
      <c r="G683" s="140">
        <v>0.57999999999999996</v>
      </c>
      <c r="H683" s="87" t="s">
        <v>17</v>
      </c>
      <c r="I683" s="136">
        <v>5</v>
      </c>
    </row>
    <row r="684" spans="6:9" ht="15" customHeight="1" x14ac:dyDescent="0.25">
      <c r="F684" s="135" t="s">
        <v>1173</v>
      </c>
      <c r="G684" s="140">
        <v>0.5</v>
      </c>
      <c r="H684" s="87" t="s">
        <v>16</v>
      </c>
      <c r="I684" s="136">
        <v>5</v>
      </c>
    </row>
    <row r="685" spans="6:9" ht="15" customHeight="1" x14ac:dyDescent="0.25">
      <c r="F685" s="135" t="s">
        <v>575</v>
      </c>
      <c r="G685" s="140">
        <v>0.4</v>
      </c>
      <c r="H685" s="87" t="s">
        <v>17</v>
      </c>
      <c r="I685" s="136">
        <v>5</v>
      </c>
    </row>
    <row r="686" spans="6:9" ht="15" customHeight="1" x14ac:dyDescent="0.25">
      <c r="F686" s="135" t="s">
        <v>1174</v>
      </c>
      <c r="G686" s="140">
        <v>0.4</v>
      </c>
      <c r="H686" s="87" t="s">
        <v>777</v>
      </c>
      <c r="I686" s="136">
        <v>1</v>
      </c>
    </row>
    <row r="687" spans="6:9" ht="15" customHeight="1" x14ac:dyDescent="0.25">
      <c r="F687" s="135" t="s">
        <v>1175</v>
      </c>
      <c r="G687" s="140">
        <v>0.36</v>
      </c>
      <c r="H687" s="87" t="s">
        <v>777</v>
      </c>
      <c r="I687" s="136">
        <v>1</v>
      </c>
    </row>
    <row r="688" spans="6:9" ht="15" customHeight="1" x14ac:dyDescent="0.25">
      <c r="F688" s="135" t="s">
        <v>1176</v>
      </c>
      <c r="G688" s="140">
        <v>0.4</v>
      </c>
      <c r="H688" s="87" t="s">
        <v>777</v>
      </c>
      <c r="I688" s="136">
        <v>1</v>
      </c>
    </row>
    <row r="689" spans="6:9" ht="15" customHeight="1" x14ac:dyDescent="0.25">
      <c r="F689" s="135" t="s">
        <v>577</v>
      </c>
      <c r="G689" s="140">
        <v>0.96</v>
      </c>
      <c r="H689" s="87" t="s">
        <v>17</v>
      </c>
      <c r="I689" s="136">
        <v>5</v>
      </c>
    </row>
    <row r="690" spans="6:9" ht="15" customHeight="1" x14ac:dyDescent="0.25">
      <c r="F690" s="135" t="s">
        <v>1177</v>
      </c>
      <c r="G690" s="140">
        <v>0.63</v>
      </c>
      <c r="H690" s="87" t="s">
        <v>16</v>
      </c>
      <c r="I690" s="136">
        <v>5</v>
      </c>
    </row>
    <row r="691" spans="6:9" ht="15" customHeight="1" x14ac:dyDescent="0.25">
      <c r="F691" s="135" t="s">
        <v>579</v>
      </c>
      <c r="G691" s="140">
        <v>0.82</v>
      </c>
      <c r="H691" s="87" t="s">
        <v>17</v>
      </c>
      <c r="I691" s="136">
        <v>5</v>
      </c>
    </row>
    <row r="692" spans="6:9" ht="15" customHeight="1" x14ac:dyDescent="0.25">
      <c r="F692" s="135" t="s">
        <v>1178</v>
      </c>
      <c r="G692" s="140">
        <v>0.62</v>
      </c>
      <c r="H692" s="87" t="s">
        <v>777</v>
      </c>
      <c r="I692" s="136">
        <v>4</v>
      </c>
    </row>
    <row r="693" spans="6:9" ht="15" customHeight="1" x14ac:dyDescent="0.25">
      <c r="F693" s="135" t="s">
        <v>1179</v>
      </c>
      <c r="G693" s="140">
        <v>0.64</v>
      </c>
      <c r="H693" s="87" t="s">
        <v>777</v>
      </c>
      <c r="I693" s="136">
        <v>4</v>
      </c>
    </row>
    <row r="694" spans="6:9" ht="15" customHeight="1" x14ac:dyDescent="0.25">
      <c r="F694" s="135" t="s">
        <v>1180</v>
      </c>
      <c r="G694" s="140">
        <v>0.65</v>
      </c>
      <c r="H694" s="87" t="s">
        <v>777</v>
      </c>
      <c r="I694" s="136">
        <v>4</v>
      </c>
    </row>
    <row r="695" spans="6:9" ht="15" customHeight="1" x14ac:dyDescent="0.25">
      <c r="F695" s="135" t="s">
        <v>1181</v>
      </c>
      <c r="G695" s="140">
        <v>0.61</v>
      </c>
      <c r="H695" s="87" t="s">
        <v>777</v>
      </c>
      <c r="I695" s="136">
        <v>4</v>
      </c>
    </row>
    <row r="696" spans="6:9" ht="15" customHeight="1" x14ac:dyDescent="0.25">
      <c r="F696" s="135" t="s">
        <v>1182</v>
      </c>
      <c r="G696" s="140">
        <v>0.68</v>
      </c>
      <c r="H696" s="87" t="s">
        <v>16</v>
      </c>
      <c r="I696" s="136">
        <v>5</v>
      </c>
    </row>
    <row r="697" spans="6:9" ht="15" customHeight="1" x14ac:dyDescent="0.25">
      <c r="F697" s="135" t="s">
        <v>1183</v>
      </c>
      <c r="G697" s="140">
        <v>0.56000000000000005</v>
      </c>
      <c r="H697" s="87" t="s">
        <v>16</v>
      </c>
      <c r="I697" s="136">
        <v>5</v>
      </c>
    </row>
    <row r="698" spans="6:9" ht="15" customHeight="1" x14ac:dyDescent="0.25">
      <c r="F698" s="135" t="s">
        <v>1184</v>
      </c>
      <c r="G698" s="140">
        <v>0.48</v>
      </c>
      <c r="H698" s="87" t="s">
        <v>16</v>
      </c>
      <c r="I698" s="136">
        <v>5</v>
      </c>
    </row>
    <row r="699" spans="6:9" ht="15" customHeight="1" x14ac:dyDescent="0.25">
      <c r="F699" s="135" t="s">
        <v>1185</v>
      </c>
      <c r="G699" s="140">
        <v>0.56000000000000005</v>
      </c>
      <c r="H699" s="87" t="s">
        <v>16</v>
      </c>
      <c r="I699" s="136">
        <v>5</v>
      </c>
    </row>
    <row r="700" spans="6:9" ht="15" customHeight="1" x14ac:dyDescent="0.25">
      <c r="F700" s="135" t="s">
        <v>581</v>
      </c>
      <c r="G700" s="140">
        <v>0.64</v>
      </c>
      <c r="H700" s="87" t="s">
        <v>17</v>
      </c>
      <c r="I700" s="136">
        <v>5</v>
      </c>
    </row>
    <row r="701" spans="6:9" ht="15" customHeight="1" x14ac:dyDescent="0.25">
      <c r="F701" s="135" t="s">
        <v>582</v>
      </c>
      <c r="G701" s="140">
        <v>0.56999999999999995</v>
      </c>
      <c r="H701" s="87" t="s">
        <v>17</v>
      </c>
      <c r="I701" s="136">
        <v>5</v>
      </c>
    </row>
    <row r="702" spans="6:9" ht="15" customHeight="1" x14ac:dyDescent="0.25">
      <c r="F702" s="135" t="s">
        <v>583</v>
      </c>
      <c r="G702" s="140">
        <v>0.48</v>
      </c>
      <c r="H702" s="87" t="s">
        <v>17</v>
      </c>
      <c r="I702" s="136">
        <v>5</v>
      </c>
    </row>
    <row r="703" spans="6:9" ht="15" customHeight="1" x14ac:dyDescent="0.25">
      <c r="F703" s="135" t="s">
        <v>585</v>
      </c>
      <c r="G703" s="140">
        <v>0.4</v>
      </c>
      <c r="H703" s="87" t="s">
        <v>17</v>
      </c>
      <c r="I703" s="136">
        <v>5</v>
      </c>
    </row>
    <row r="704" spans="6:9" ht="15" customHeight="1" x14ac:dyDescent="0.25">
      <c r="F704" s="135" t="s">
        <v>1186</v>
      </c>
      <c r="G704" s="140">
        <v>0.41</v>
      </c>
      <c r="H704" s="87" t="s">
        <v>17</v>
      </c>
      <c r="I704" s="136">
        <v>5</v>
      </c>
    </row>
    <row r="705" spans="6:9" ht="15" customHeight="1" x14ac:dyDescent="0.25">
      <c r="F705" s="135" t="s">
        <v>588</v>
      </c>
      <c r="G705" s="140">
        <v>0.73</v>
      </c>
      <c r="H705" s="87" t="s">
        <v>17</v>
      </c>
      <c r="I705" s="136">
        <v>5</v>
      </c>
    </row>
    <row r="706" spans="6:9" ht="15" customHeight="1" x14ac:dyDescent="0.25">
      <c r="F706" s="135" t="s">
        <v>590</v>
      </c>
      <c r="G706" s="140">
        <v>0.75</v>
      </c>
      <c r="H706" s="87" t="s">
        <v>17</v>
      </c>
      <c r="I706" s="136">
        <v>5</v>
      </c>
    </row>
    <row r="707" spans="6:9" ht="15" customHeight="1" x14ac:dyDescent="0.25">
      <c r="F707" s="135" t="s">
        <v>592</v>
      </c>
      <c r="G707" s="140">
        <v>0.44</v>
      </c>
      <c r="H707" s="87" t="s">
        <v>17</v>
      </c>
      <c r="I707" s="136">
        <v>5</v>
      </c>
    </row>
    <row r="708" spans="6:9" ht="15" customHeight="1" x14ac:dyDescent="0.25">
      <c r="F708" s="135" t="s">
        <v>596</v>
      </c>
      <c r="G708" s="140">
        <v>0.39</v>
      </c>
      <c r="H708" s="87" t="s">
        <v>17</v>
      </c>
      <c r="I708" s="136">
        <v>5</v>
      </c>
    </row>
    <row r="709" spans="6:9" ht="15" customHeight="1" x14ac:dyDescent="0.25">
      <c r="F709" s="135" t="s">
        <v>597</v>
      </c>
      <c r="G709" s="140">
        <v>0.7</v>
      </c>
      <c r="H709" s="87" t="s">
        <v>17</v>
      </c>
      <c r="I709" s="136">
        <v>5</v>
      </c>
    </row>
    <row r="710" spans="6:9" ht="15" customHeight="1" x14ac:dyDescent="0.25">
      <c r="F710" s="135" t="s">
        <v>598</v>
      </c>
      <c r="G710" s="140">
        <v>0.47</v>
      </c>
      <c r="H710" s="87" t="s">
        <v>17</v>
      </c>
      <c r="I710" s="136">
        <v>5</v>
      </c>
    </row>
    <row r="711" spans="6:9" ht="15" customHeight="1" x14ac:dyDescent="0.25">
      <c r="F711" s="135" t="s">
        <v>600</v>
      </c>
      <c r="G711" s="140">
        <v>0.72</v>
      </c>
      <c r="H711" s="87" t="s">
        <v>17</v>
      </c>
      <c r="I711" s="136">
        <v>5</v>
      </c>
    </row>
    <row r="712" spans="6:9" ht="15" customHeight="1" x14ac:dyDescent="0.25">
      <c r="F712" s="135" t="s">
        <v>1187</v>
      </c>
      <c r="G712" s="140">
        <v>0.7</v>
      </c>
      <c r="H712" s="87" t="s">
        <v>17</v>
      </c>
      <c r="I712" s="136">
        <v>5</v>
      </c>
    </row>
    <row r="713" spans="6:9" ht="15" customHeight="1" x14ac:dyDescent="0.25">
      <c r="F713" s="135" t="s">
        <v>1188</v>
      </c>
      <c r="G713" s="140">
        <v>0.55000000000000004</v>
      </c>
      <c r="H713" s="87" t="s">
        <v>17</v>
      </c>
      <c r="I713" s="136">
        <v>5</v>
      </c>
    </row>
    <row r="714" spans="6:9" ht="15" customHeight="1" x14ac:dyDescent="0.25">
      <c r="F714" s="135" t="s">
        <v>1189</v>
      </c>
      <c r="G714" s="140">
        <v>0.4</v>
      </c>
      <c r="H714" s="87" t="s">
        <v>17</v>
      </c>
      <c r="I714" s="136">
        <v>5</v>
      </c>
    </row>
    <row r="715" spans="6:9" ht="15" customHeight="1" x14ac:dyDescent="0.25">
      <c r="F715" s="135" t="s">
        <v>1190</v>
      </c>
      <c r="G715" s="140">
        <v>0.52</v>
      </c>
      <c r="H715" s="87" t="s">
        <v>777</v>
      </c>
      <c r="I715" s="136">
        <v>5</v>
      </c>
    </row>
    <row r="716" spans="6:9" ht="15" customHeight="1" x14ac:dyDescent="0.25">
      <c r="F716" s="135" t="s">
        <v>560</v>
      </c>
      <c r="G716" s="140">
        <v>0.51</v>
      </c>
      <c r="H716" s="87" t="s">
        <v>777</v>
      </c>
      <c r="I716" s="136">
        <v>5</v>
      </c>
    </row>
    <row r="717" spans="6:9" ht="15" customHeight="1" x14ac:dyDescent="0.25">
      <c r="F717" s="135" t="s">
        <v>561</v>
      </c>
      <c r="G717" s="140">
        <v>0.36</v>
      </c>
      <c r="H717" s="87" t="s">
        <v>777</v>
      </c>
      <c r="I717" s="136">
        <v>1</v>
      </c>
    </row>
    <row r="718" spans="6:9" ht="15" customHeight="1" x14ac:dyDescent="0.25">
      <c r="F718" s="135" t="s">
        <v>1191</v>
      </c>
      <c r="G718" s="140">
        <v>0.65</v>
      </c>
      <c r="H718" s="87" t="s">
        <v>777</v>
      </c>
      <c r="I718" s="136">
        <v>1</v>
      </c>
    </row>
    <row r="719" spans="6:9" ht="15" customHeight="1" x14ac:dyDescent="0.25">
      <c r="F719" s="135" t="s">
        <v>1192</v>
      </c>
      <c r="G719" s="140">
        <v>0.56000000000000005</v>
      </c>
      <c r="H719" s="87" t="s">
        <v>16</v>
      </c>
      <c r="I719" s="136">
        <v>5</v>
      </c>
    </row>
    <row r="720" spans="6:9" ht="15" customHeight="1" x14ac:dyDescent="0.25">
      <c r="F720" s="135" t="s">
        <v>563</v>
      </c>
      <c r="G720" s="140">
        <v>0.79</v>
      </c>
      <c r="H720" s="87" t="s">
        <v>777</v>
      </c>
      <c r="I720" s="136">
        <v>5</v>
      </c>
    </row>
    <row r="721" spans="6:9" ht="15" customHeight="1" x14ac:dyDescent="0.25">
      <c r="F721" s="135" t="s">
        <v>605</v>
      </c>
      <c r="G721" s="140">
        <v>0.53</v>
      </c>
      <c r="H721" s="87" t="s">
        <v>17</v>
      </c>
      <c r="I721" s="136">
        <v>5</v>
      </c>
    </row>
    <row r="722" spans="6:9" ht="15" customHeight="1" x14ac:dyDescent="0.25">
      <c r="F722" s="135" t="s">
        <v>1193</v>
      </c>
      <c r="G722" s="140">
        <v>1.01</v>
      </c>
      <c r="H722" s="87" t="s">
        <v>777</v>
      </c>
      <c r="I722" s="136">
        <v>4</v>
      </c>
    </row>
    <row r="723" spans="6:9" ht="15" customHeight="1" x14ac:dyDescent="0.25">
      <c r="F723" s="135" t="s">
        <v>606</v>
      </c>
      <c r="G723" s="140">
        <v>0.97</v>
      </c>
      <c r="H723" s="87" t="s">
        <v>17</v>
      </c>
      <c r="I723" s="136">
        <v>5</v>
      </c>
    </row>
    <row r="724" spans="6:9" ht="15" customHeight="1" x14ac:dyDescent="0.25">
      <c r="F724" s="135" t="s">
        <v>607</v>
      </c>
      <c r="G724" s="140">
        <v>0.25</v>
      </c>
      <c r="H724" s="87" t="s">
        <v>17</v>
      </c>
      <c r="I724" s="136">
        <v>5</v>
      </c>
    </row>
    <row r="725" spans="6:9" ht="15" customHeight="1" x14ac:dyDescent="0.25">
      <c r="F725" s="135" t="s">
        <v>1194</v>
      </c>
      <c r="G725" s="140">
        <v>0.38</v>
      </c>
      <c r="H725" s="87" t="s">
        <v>777</v>
      </c>
      <c r="I725" s="136">
        <v>4</v>
      </c>
    </row>
    <row r="726" spans="6:9" ht="15" customHeight="1" x14ac:dyDescent="0.25">
      <c r="F726" s="135" t="s">
        <v>565</v>
      </c>
      <c r="G726" s="140" t="s">
        <v>1195</v>
      </c>
      <c r="H726" s="87" t="s">
        <v>777</v>
      </c>
      <c r="I726" s="136">
        <v>1</v>
      </c>
    </row>
    <row r="727" spans="6:9" ht="15" customHeight="1" x14ac:dyDescent="0.25">
      <c r="F727" s="135" t="s">
        <v>1196</v>
      </c>
      <c r="G727" s="140">
        <v>0.4</v>
      </c>
      <c r="H727" s="87" t="s">
        <v>777</v>
      </c>
      <c r="I727" s="136">
        <v>4</v>
      </c>
    </row>
    <row r="728" spans="6:9" ht="15" customHeight="1" x14ac:dyDescent="0.25">
      <c r="F728" s="135" t="s">
        <v>1197</v>
      </c>
      <c r="G728" s="140">
        <v>0.75</v>
      </c>
      <c r="H728" s="87" t="s">
        <v>16</v>
      </c>
      <c r="I728" s="136">
        <v>5</v>
      </c>
    </row>
    <row r="729" spans="6:9" ht="15" customHeight="1" x14ac:dyDescent="0.25">
      <c r="F729" s="135" t="s">
        <v>608</v>
      </c>
      <c r="G729" s="140">
        <v>0.37</v>
      </c>
      <c r="H729" s="87" t="s">
        <v>17</v>
      </c>
      <c r="I729" s="136">
        <v>5</v>
      </c>
    </row>
    <row r="730" spans="6:9" ht="15" customHeight="1" x14ac:dyDescent="0.25">
      <c r="F730" s="135" t="s">
        <v>1198</v>
      </c>
      <c r="G730" s="140">
        <v>0.33</v>
      </c>
      <c r="H730" s="87" t="s">
        <v>777</v>
      </c>
      <c r="I730" s="136">
        <v>4</v>
      </c>
    </row>
    <row r="731" spans="6:9" ht="15" customHeight="1" x14ac:dyDescent="0.25">
      <c r="F731" s="135" t="s">
        <v>1199</v>
      </c>
      <c r="G731" s="140">
        <v>0.46</v>
      </c>
      <c r="H731" s="87" t="s">
        <v>777</v>
      </c>
      <c r="I731" s="136">
        <v>4</v>
      </c>
    </row>
    <row r="732" spans="6:9" ht="15" customHeight="1" x14ac:dyDescent="0.25">
      <c r="F732" s="135" t="s">
        <v>1200</v>
      </c>
      <c r="G732" s="140">
        <v>0.64</v>
      </c>
      <c r="H732" s="87" t="s">
        <v>16</v>
      </c>
      <c r="I732" s="136">
        <v>5</v>
      </c>
    </row>
    <row r="733" spans="6:9" ht="15" customHeight="1" x14ac:dyDescent="0.25">
      <c r="F733" s="135" t="s">
        <v>1201</v>
      </c>
      <c r="G733" s="140">
        <v>0.51</v>
      </c>
      <c r="H733" s="87" t="s">
        <v>777</v>
      </c>
      <c r="I733" s="136">
        <v>4</v>
      </c>
    </row>
    <row r="734" spans="6:9" ht="15" customHeight="1" x14ac:dyDescent="0.25">
      <c r="F734" s="135" t="s">
        <v>609</v>
      </c>
      <c r="G734" s="140">
        <v>0.31</v>
      </c>
      <c r="H734" s="87" t="s">
        <v>17</v>
      </c>
      <c r="I734" s="136">
        <v>5</v>
      </c>
    </row>
    <row r="735" spans="6:9" ht="15" customHeight="1" x14ac:dyDescent="0.25">
      <c r="F735" s="135" t="s">
        <v>610</v>
      </c>
      <c r="G735" s="140">
        <v>0.62</v>
      </c>
      <c r="H735" s="87" t="s">
        <v>17</v>
      </c>
      <c r="I735" s="136">
        <v>5</v>
      </c>
    </row>
    <row r="736" spans="6:9" ht="15" customHeight="1" x14ac:dyDescent="0.25">
      <c r="F736" s="135" t="s">
        <v>1202</v>
      </c>
      <c r="G736" s="140">
        <v>0.56000000000000005</v>
      </c>
      <c r="H736" s="87" t="s">
        <v>16</v>
      </c>
      <c r="I736" s="136">
        <v>5</v>
      </c>
    </row>
    <row r="737" spans="6:9" ht="15" customHeight="1" x14ac:dyDescent="0.25">
      <c r="F737" s="135" t="s">
        <v>611</v>
      </c>
      <c r="G737" s="140">
        <v>0.71</v>
      </c>
      <c r="H737" s="87" t="s">
        <v>17</v>
      </c>
      <c r="I737" s="136">
        <v>5</v>
      </c>
    </row>
    <row r="738" spans="6:9" ht="15" customHeight="1" x14ac:dyDescent="0.25">
      <c r="F738" s="135" t="s">
        <v>1203</v>
      </c>
      <c r="G738" s="140">
        <v>0.63</v>
      </c>
      <c r="H738" s="87" t="s">
        <v>16</v>
      </c>
      <c r="I738" s="136">
        <v>5</v>
      </c>
    </row>
    <row r="739" spans="6:9" ht="15" customHeight="1" x14ac:dyDescent="0.25">
      <c r="F739" s="135" t="s">
        <v>612</v>
      </c>
      <c r="G739" s="140">
        <v>0.88</v>
      </c>
      <c r="H739" s="87" t="s">
        <v>17</v>
      </c>
      <c r="I739" s="136">
        <v>5</v>
      </c>
    </row>
    <row r="740" spans="6:9" ht="15" customHeight="1" x14ac:dyDescent="0.25">
      <c r="F740" s="135" t="s">
        <v>1204</v>
      </c>
      <c r="G740" s="140">
        <v>0.69</v>
      </c>
      <c r="H740" s="87" t="s">
        <v>777</v>
      </c>
      <c r="I740" s="136">
        <v>5</v>
      </c>
    </row>
    <row r="741" spans="6:9" ht="15" customHeight="1" x14ac:dyDescent="0.25">
      <c r="F741" s="135" t="s">
        <v>1205</v>
      </c>
      <c r="G741" s="140">
        <v>0.82</v>
      </c>
      <c r="H741" s="87" t="s">
        <v>16</v>
      </c>
      <c r="I741" s="136">
        <v>5</v>
      </c>
    </row>
    <row r="742" spans="6:9" ht="15" customHeight="1" x14ac:dyDescent="0.25">
      <c r="F742" s="135" t="s">
        <v>1206</v>
      </c>
      <c r="G742" s="140">
        <v>0.61</v>
      </c>
      <c r="H742" s="87" t="s">
        <v>777</v>
      </c>
      <c r="I742" s="136">
        <v>1</v>
      </c>
    </row>
    <row r="743" spans="6:9" ht="15" customHeight="1" x14ac:dyDescent="0.25">
      <c r="F743" s="135" t="s">
        <v>1207</v>
      </c>
      <c r="G743" s="140">
        <v>0.97</v>
      </c>
      <c r="H743" s="87" t="s">
        <v>777</v>
      </c>
      <c r="I743" s="136">
        <v>4</v>
      </c>
    </row>
    <row r="744" spans="6:9" ht="15" customHeight="1" x14ac:dyDescent="0.25">
      <c r="F744" s="135" t="s">
        <v>567</v>
      </c>
      <c r="G744" s="140">
        <v>0.43</v>
      </c>
      <c r="H744" s="87" t="s">
        <v>777</v>
      </c>
      <c r="I744" s="136">
        <v>1</v>
      </c>
    </row>
    <row r="745" spans="6:9" ht="15" customHeight="1" x14ac:dyDescent="0.25">
      <c r="F745" s="135" t="s">
        <v>567</v>
      </c>
      <c r="G745" s="140" t="s">
        <v>1208</v>
      </c>
      <c r="H745" s="87" t="s">
        <v>17</v>
      </c>
      <c r="I745" s="136">
        <v>5</v>
      </c>
    </row>
    <row r="746" spans="6:9" ht="15" customHeight="1" x14ac:dyDescent="0.25">
      <c r="F746" s="135" t="s">
        <v>613</v>
      </c>
      <c r="G746" s="140">
        <v>0.62</v>
      </c>
      <c r="H746" s="87" t="s">
        <v>17</v>
      </c>
      <c r="I746" s="136">
        <v>5</v>
      </c>
    </row>
    <row r="747" spans="6:9" ht="15" customHeight="1" x14ac:dyDescent="0.25">
      <c r="F747" s="135" t="s">
        <v>1209</v>
      </c>
      <c r="G747" s="140">
        <v>0.61</v>
      </c>
      <c r="H747" s="87" t="s">
        <v>17</v>
      </c>
      <c r="I747" s="136">
        <v>5</v>
      </c>
    </row>
    <row r="748" spans="6:9" ht="15" customHeight="1" x14ac:dyDescent="0.25">
      <c r="F748" s="135" t="s">
        <v>614</v>
      </c>
      <c r="G748" s="140">
        <v>0.63</v>
      </c>
      <c r="H748" s="87" t="s">
        <v>17</v>
      </c>
      <c r="I748" s="136">
        <v>5</v>
      </c>
    </row>
    <row r="749" spans="6:9" ht="15" customHeight="1" x14ac:dyDescent="0.25">
      <c r="F749" s="135" t="s">
        <v>569</v>
      </c>
      <c r="G749" s="140">
        <v>0.57999999999999996</v>
      </c>
      <c r="H749" s="87" t="s">
        <v>16</v>
      </c>
      <c r="I749" s="136">
        <v>5</v>
      </c>
    </row>
    <row r="750" spans="6:9" ht="15" customHeight="1" x14ac:dyDescent="0.25">
      <c r="F750" s="135" t="s">
        <v>569</v>
      </c>
      <c r="G750" s="140">
        <v>0.57999999999999996</v>
      </c>
      <c r="H750" s="87" t="s">
        <v>777</v>
      </c>
      <c r="I750" s="136">
        <v>1</v>
      </c>
    </row>
    <row r="751" spans="6:9" ht="15" customHeight="1" x14ac:dyDescent="0.25">
      <c r="F751" s="135" t="s">
        <v>1210</v>
      </c>
      <c r="G751" s="140">
        <v>0.59</v>
      </c>
      <c r="H751" s="87" t="s">
        <v>16</v>
      </c>
      <c r="I751" s="136">
        <v>5</v>
      </c>
    </row>
    <row r="752" spans="6:9" ht="15" customHeight="1" x14ac:dyDescent="0.25">
      <c r="F752" s="135" t="s">
        <v>1211</v>
      </c>
      <c r="G752" s="140" t="s">
        <v>1212</v>
      </c>
      <c r="H752" s="87" t="s">
        <v>17</v>
      </c>
      <c r="I752" s="136">
        <v>5</v>
      </c>
    </row>
    <row r="753" spans="6:9" ht="15" customHeight="1" x14ac:dyDescent="0.25">
      <c r="F753" s="135" t="s">
        <v>1213</v>
      </c>
      <c r="G753" s="140">
        <v>0.54</v>
      </c>
      <c r="H753" s="87" t="s">
        <v>777</v>
      </c>
      <c r="I753" s="136">
        <v>1</v>
      </c>
    </row>
    <row r="754" spans="6:9" ht="15" customHeight="1" x14ac:dyDescent="0.25">
      <c r="F754" s="135" t="s">
        <v>1214</v>
      </c>
      <c r="G754" s="140">
        <v>0.92</v>
      </c>
      <c r="H754" s="87" t="s">
        <v>777</v>
      </c>
      <c r="I754" s="136">
        <v>1</v>
      </c>
    </row>
    <row r="755" spans="6:9" ht="15" customHeight="1" x14ac:dyDescent="0.25">
      <c r="F755" s="135" t="s">
        <v>574</v>
      </c>
      <c r="G755" s="140" t="s">
        <v>1215</v>
      </c>
      <c r="H755" s="87" t="s">
        <v>777</v>
      </c>
      <c r="I755" s="136">
        <v>5</v>
      </c>
    </row>
    <row r="756" spans="6:9" ht="15" customHeight="1" x14ac:dyDescent="0.25">
      <c r="F756" s="135" t="s">
        <v>576</v>
      </c>
      <c r="G756" s="140">
        <v>0.53</v>
      </c>
      <c r="H756" s="87" t="s">
        <v>777</v>
      </c>
      <c r="I756" s="136">
        <v>4</v>
      </c>
    </row>
    <row r="757" spans="6:9" ht="15" customHeight="1" x14ac:dyDescent="0.25">
      <c r="F757" s="135" t="s">
        <v>578</v>
      </c>
      <c r="G757" s="140">
        <v>0.84</v>
      </c>
      <c r="H757" s="87" t="s">
        <v>777</v>
      </c>
      <c r="I757" s="136">
        <v>5</v>
      </c>
    </row>
    <row r="758" spans="6:9" ht="15" customHeight="1" x14ac:dyDescent="0.25">
      <c r="F758" s="135" t="s">
        <v>615</v>
      </c>
      <c r="G758" s="140">
        <v>0.75</v>
      </c>
      <c r="H758" s="87" t="s">
        <v>17</v>
      </c>
      <c r="I758" s="136">
        <v>5</v>
      </c>
    </row>
    <row r="759" spans="6:9" ht="15" customHeight="1" x14ac:dyDescent="0.25">
      <c r="F759" s="135" t="s">
        <v>580</v>
      </c>
      <c r="G759" s="140">
        <v>0.5</v>
      </c>
      <c r="H759" s="87" t="s">
        <v>777</v>
      </c>
      <c r="I759" s="136">
        <v>4</v>
      </c>
    </row>
    <row r="760" spans="6:9" ht="15" customHeight="1" x14ac:dyDescent="0.25">
      <c r="F760" s="135" t="s">
        <v>1216</v>
      </c>
      <c r="G760" s="140">
        <v>0.8</v>
      </c>
      <c r="H760" s="87" t="s">
        <v>777</v>
      </c>
      <c r="I760" s="136">
        <v>1</v>
      </c>
    </row>
    <row r="761" spans="6:9" ht="15" customHeight="1" x14ac:dyDescent="0.25">
      <c r="F761" s="135" t="s">
        <v>616</v>
      </c>
      <c r="G761" s="140" t="s">
        <v>1217</v>
      </c>
      <c r="H761" s="87" t="s">
        <v>17</v>
      </c>
      <c r="I761" s="136">
        <v>5</v>
      </c>
    </row>
    <row r="762" spans="6:9" ht="15" customHeight="1" x14ac:dyDescent="0.25">
      <c r="F762" s="135" t="s">
        <v>1218</v>
      </c>
      <c r="G762" s="140">
        <v>0.65</v>
      </c>
      <c r="H762" s="87" t="s">
        <v>777</v>
      </c>
      <c r="I762" s="136">
        <v>1</v>
      </c>
    </row>
    <row r="763" spans="6:9" ht="15" customHeight="1" x14ac:dyDescent="0.25">
      <c r="F763" s="135" t="s">
        <v>617</v>
      </c>
      <c r="G763" s="140">
        <v>0.71</v>
      </c>
      <c r="H763" s="87" t="s">
        <v>17</v>
      </c>
      <c r="I763" s="136">
        <v>5</v>
      </c>
    </row>
    <row r="764" spans="6:9" ht="15" customHeight="1" x14ac:dyDescent="0.25">
      <c r="F764" s="135" t="s">
        <v>618</v>
      </c>
      <c r="G764" s="140">
        <v>0.46</v>
      </c>
      <c r="H764" s="87" t="s">
        <v>17</v>
      </c>
      <c r="I764" s="136">
        <v>5</v>
      </c>
    </row>
    <row r="765" spans="6:9" ht="15" customHeight="1" x14ac:dyDescent="0.25">
      <c r="F765" s="135" t="s">
        <v>1219</v>
      </c>
      <c r="G765" s="140" t="s">
        <v>1220</v>
      </c>
      <c r="H765" s="87" t="s">
        <v>16</v>
      </c>
      <c r="I765" s="136">
        <v>3</v>
      </c>
    </row>
    <row r="766" spans="6:9" ht="15" customHeight="1" x14ac:dyDescent="0.25">
      <c r="F766" s="135" t="s">
        <v>619</v>
      </c>
      <c r="G766" s="140">
        <v>0.53</v>
      </c>
      <c r="H766" s="87" t="s">
        <v>17</v>
      </c>
      <c r="I766" s="136">
        <v>5</v>
      </c>
    </row>
    <row r="767" spans="6:9" ht="15" customHeight="1" x14ac:dyDescent="0.25">
      <c r="F767" s="135" t="s">
        <v>620</v>
      </c>
      <c r="G767" s="140">
        <v>0.57999999999999996</v>
      </c>
      <c r="H767" s="87" t="s">
        <v>17</v>
      </c>
      <c r="I767" s="136">
        <v>5</v>
      </c>
    </row>
    <row r="768" spans="6:9" ht="15" customHeight="1" x14ac:dyDescent="0.25">
      <c r="F768" s="135" t="s">
        <v>1221</v>
      </c>
      <c r="G768" s="140">
        <v>0.73</v>
      </c>
      <c r="H768" s="87" t="s">
        <v>777</v>
      </c>
      <c r="I768" s="136">
        <v>1</v>
      </c>
    </row>
    <row r="769" spans="6:9" ht="15" customHeight="1" x14ac:dyDescent="0.25">
      <c r="F769" s="135" t="s">
        <v>621</v>
      </c>
      <c r="G769" s="140">
        <v>0.48</v>
      </c>
      <c r="H769" s="87" t="s">
        <v>17</v>
      </c>
      <c r="I769" s="136">
        <v>5</v>
      </c>
    </row>
    <row r="770" spans="6:9" ht="15" customHeight="1" x14ac:dyDescent="0.25">
      <c r="F770" s="135" t="s">
        <v>1222</v>
      </c>
      <c r="G770" s="140" t="s">
        <v>1223</v>
      </c>
      <c r="H770" s="87" t="s">
        <v>16</v>
      </c>
      <c r="I770" s="136">
        <v>3</v>
      </c>
    </row>
    <row r="771" spans="6:9" ht="15" customHeight="1" x14ac:dyDescent="0.25">
      <c r="F771" s="135" t="s">
        <v>622</v>
      </c>
      <c r="G771" s="140" t="s">
        <v>1224</v>
      </c>
      <c r="H771" s="87" t="s">
        <v>17</v>
      </c>
      <c r="I771" s="136">
        <v>5</v>
      </c>
    </row>
    <row r="772" spans="6:9" ht="15" customHeight="1" x14ac:dyDescent="0.25">
      <c r="F772" s="135" t="s">
        <v>623</v>
      </c>
      <c r="G772" s="140">
        <v>0.53</v>
      </c>
      <c r="H772" s="87" t="s">
        <v>17</v>
      </c>
      <c r="I772" s="136">
        <v>5</v>
      </c>
    </row>
    <row r="773" spans="6:9" ht="15" customHeight="1" x14ac:dyDescent="0.25">
      <c r="F773" s="135" t="s">
        <v>1225</v>
      </c>
      <c r="G773" s="140">
        <v>0.85</v>
      </c>
      <c r="H773" s="87" t="s">
        <v>16</v>
      </c>
      <c r="I773" s="136">
        <v>5</v>
      </c>
    </row>
    <row r="774" spans="6:9" ht="15" customHeight="1" x14ac:dyDescent="0.25">
      <c r="F774" s="135" t="s">
        <v>1226</v>
      </c>
      <c r="G774" s="140">
        <v>0.6</v>
      </c>
      <c r="H774" s="87" t="s">
        <v>16</v>
      </c>
      <c r="I774" s="136">
        <v>5</v>
      </c>
    </row>
    <row r="775" spans="6:9" ht="15" customHeight="1" x14ac:dyDescent="0.25">
      <c r="F775" s="135" t="s">
        <v>1227</v>
      </c>
      <c r="G775" s="140">
        <v>0.74</v>
      </c>
      <c r="H775" s="87" t="s">
        <v>777</v>
      </c>
      <c r="I775" s="136">
        <v>4</v>
      </c>
    </row>
    <row r="776" spans="6:9" ht="15" customHeight="1" x14ac:dyDescent="0.25">
      <c r="F776" s="135" t="s">
        <v>1228</v>
      </c>
      <c r="G776" s="140">
        <v>0.76</v>
      </c>
      <c r="H776" s="87" t="s">
        <v>777</v>
      </c>
      <c r="I776" s="136">
        <v>4</v>
      </c>
    </row>
    <row r="777" spans="6:9" ht="15" customHeight="1" x14ac:dyDescent="0.25">
      <c r="F777" s="135" t="s">
        <v>624</v>
      </c>
      <c r="G777" s="140">
        <v>0.3</v>
      </c>
      <c r="H777" s="87" t="s">
        <v>17</v>
      </c>
      <c r="I777" s="136">
        <v>5</v>
      </c>
    </row>
    <row r="778" spans="6:9" ht="15" customHeight="1" x14ac:dyDescent="0.25">
      <c r="F778" s="135" t="s">
        <v>625</v>
      </c>
      <c r="G778" s="140">
        <v>0.61</v>
      </c>
      <c r="H778" s="87" t="s">
        <v>17</v>
      </c>
      <c r="I778" s="136">
        <v>5</v>
      </c>
    </row>
    <row r="779" spans="6:9" ht="15" customHeight="1" x14ac:dyDescent="0.25">
      <c r="F779" s="135" t="s">
        <v>1229</v>
      </c>
      <c r="G779" s="140">
        <v>0.5</v>
      </c>
      <c r="H779" s="87" t="s">
        <v>16</v>
      </c>
      <c r="I779" s="136">
        <v>5</v>
      </c>
    </row>
    <row r="780" spans="6:9" ht="15" customHeight="1" x14ac:dyDescent="0.25">
      <c r="F780" s="135" t="s">
        <v>626</v>
      </c>
      <c r="G780" s="140">
        <v>0.52</v>
      </c>
      <c r="H780" s="87" t="s">
        <v>17</v>
      </c>
      <c r="I780" s="136">
        <v>5</v>
      </c>
    </row>
    <row r="781" spans="6:9" ht="15" customHeight="1" x14ac:dyDescent="0.25">
      <c r="F781" s="135" t="s">
        <v>1230</v>
      </c>
      <c r="G781" s="140">
        <v>0.63</v>
      </c>
      <c r="H781" s="87" t="s">
        <v>777</v>
      </c>
      <c r="I781" s="136">
        <v>4</v>
      </c>
    </row>
    <row r="782" spans="6:9" ht="15" customHeight="1" x14ac:dyDescent="0.25">
      <c r="F782" s="135" t="s">
        <v>1231</v>
      </c>
      <c r="G782" s="140" t="s">
        <v>1232</v>
      </c>
      <c r="H782" s="87" t="s">
        <v>16</v>
      </c>
      <c r="I782" s="136">
        <v>3</v>
      </c>
    </row>
    <row r="783" spans="6:9" ht="15" customHeight="1" x14ac:dyDescent="0.25">
      <c r="F783" s="135" t="s">
        <v>584</v>
      </c>
      <c r="G783" s="140">
        <v>0.74</v>
      </c>
      <c r="H783" s="87" t="s">
        <v>777</v>
      </c>
      <c r="I783" s="136">
        <v>5</v>
      </c>
    </row>
    <row r="784" spans="6:9" ht="15" customHeight="1" x14ac:dyDescent="0.25">
      <c r="F784" s="135" t="s">
        <v>586</v>
      </c>
      <c r="G784" s="140">
        <v>0.52</v>
      </c>
      <c r="H784" s="87" t="s">
        <v>777</v>
      </c>
      <c r="I784" s="136">
        <v>5</v>
      </c>
    </row>
    <row r="785" spans="6:9" ht="15" customHeight="1" x14ac:dyDescent="0.25">
      <c r="F785" s="135" t="s">
        <v>587</v>
      </c>
      <c r="G785" s="140">
        <v>0.63</v>
      </c>
      <c r="H785" s="87" t="s">
        <v>777</v>
      </c>
      <c r="I785" s="136">
        <v>5</v>
      </c>
    </row>
    <row r="786" spans="6:9" ht="15" customHeight="1" x14ac:dyDescent="0.25">
      <c r="F786" s="135" t="s">
        <v>589</v>
      </c>
      <c r="G786" s="140">
        <v>0.6</v>
      </c>
      <c r="H786" s="87" t="s">
        <v>777</v>
      </c>
      <c r="I786" s="136">
        <v>5</v>
      </c>
    </row>
    <row r="787" spans="6:9" ht="15" customHeight="1" x14ac:dyDescent="0.25">
      <c r="F787" s="135" t="s">
        <v>591</v>
      </c>
      <c r="G787" s="140">
        <v>0.38</v>
      </c>
      <c r="H787" s="87" t="s">
        <v>777</v>
      </c>
      <c r="I787" s="136">
        <v>5</v>
      </c>
    </row>
    <row r="788" spans="6:9" ht="15" customHeight="1" x14ac:dyDescent="0.25">
      <c r="F788" s="135" t="s">
        <v>627</v>
      </c>
      <c r="G788" s="140">
        <v>0.31</v>
      </c>
      <c r="H788" s="87" t="s">
        <v>17</v>
      </c>
      <c r="I788" s="136">
        <v>5</v>
      </c>
    </row>
    <row r="789" spans="6:9" ht="15" customHeight="1" x14ac:dyDescent="0.25">
      <c r="F789" s="135" t="s">
        <v>1233</v>
      </c>
      <c r="G789" s="140">
        <v>0.4</v>
      </c>
      <c r="H789" s="87" t="s">
        <v>16</v>
      </c>
      <c r="I789" s="136">
        <v>5</v>
      </c>
    </row>
    <row r="790" spans="6:9" ht="15" customHeight="1" x14ac:dyDescent="0.25">
      <c r="F790" s="135" t="s">
        <v>1234</v>
      </c>
      <c r="G790" s="140">
        <v>0.9</v>
      </c>
      <c r="H790" s="87" t="s">
        <v>777</v>
      </c>
      <c r="I790" s="136">
        <v>4</v>
      </c>
    </row>
    <row r="791" spans="6:9" ht="15" customHeight="1" x14ac:dyDescent="0.25">
      <c r="F791" s="135" t="s">
        <v>1235</v>
      </c>
      <c r="G791" s="140">
        <v>0.63</v>
      </c>
      <c r="H791" s="87" t="s">
        <v>16</v>
      </c>
      <c r="I791" s="136">
        <v>5</v>
      </c>
    </row>
    <row r="792" spans="6:9" ht="15" customHeight="1" x14ac:dyDescent="0.25">
      <c r="F792" s="135" t="s">
        <v>593</v>
      </c>
      <c r="G792" s="140">
        <v>0.57999999999999996</v>
      </c>
      <c r="H792" s="87" t="s">
        <v>777</v>
      </c>
      <c r="I792" s="136">
        <v>5</v>
      </c>
    </row>
    <row r="793" spans="6:9" ht="15" customHeight="1" x14ac:dyDescent="0.25">
      <c r="F793" s="135" t="s">
        <v>1236</v>
      </c>
      <c r="G793" s="140">
        <v>0.59</v>
      </c>
      <c r="H793" s="87" t="s">
        <v>16</v>
      </c>
      <c r="I793" s="136">
        <v>5</v>
      </c>
    </row>
    <row r="794" spans="6:9" ht="15" customHeight="1" x14ac:dyDescent="0.25">
      <c r="F794" s="135" t="s">
        <v>594</v>
      </c>
      <c r="G794" s="140">
        <v>0.41</v>
      </c>
      <c r="H794" s="87" t="s">
        <v>777</v>
      </c>
      <c r="I794" s="136">
        <v>5</v>
      </c>
    </row>
    <row r="795" spans="6:9" ht="15" customHeight="1" x14ac:dyDescent="0.25">
      <c r="F795" s="135" t="s">
        <v>628</v>
      </c>
      <c r="G795" s="140">
        <v>0.32</v>
      </c>
      <c r="H795" s="87" t="s">
        <v>17</v>
      </c>
      <c r="I795" s="136">
        <v>5</v>
      </c>
    </row>
    <row r="796" spans="6:9" ht="15" customHeight="1" x14ac:dyDescent="0.25">
      <c r="F796" s="135" t="s">
        <v>1237</v>
      </c>
      <c r="G796" s="140">
        <v>0.53</v>
      </c>
      <c r="H796" s="87" t="s">
        <v>777</v>
      </c>
      <c r="I796" s="136">
        <v>5</v>
      </c>
    </row>
    <row r="797" spans="6:9" ht="15" customHeight="1" x14ac:dyDescent="0.25">
      <c r="F797" s="135" t="s">
        <v>1238</v>
      </c>
      <c r="G797" s="140" t="s">
        <v>1239</v>
      </c>
      <c r="H797" s="87" t="s">
        <v>16</v>
      </c>
      <c r="I797" s="136">
        <v>3</v>
      </c>
    </row>
    <row r="798" spans="6:9" ht="15" customHeight="1" x14ac:dyDescent="0.25">
      <c r="F798" s="135" t="s">
        <v>1240</v>
      </c>
      <c r="G798" s="140">
        <v>0.8</v>
      </c>
      <c r="H798" s="87" t="s">
        <v>17</v>
      </c>
      <c r="I798" s="136">
        <v>5</v>
      </c>
    </row>
    <row r="799" spans="6:9" ht="15" customHeight="1" x14ac:dyDescent="0.25">
      <c r="F799" s="135" t="s">
        <v>595</v>
      </c>
      <c r="G799" s="140">
        <v>0.44</v>
      </c>
      <c r="H799" s="87" t="s">
        <v>777</v>
      </c>
      <c r="I799" s="136">
        <v>1</v>
      </c>
    </row>
    <row r="800" spans="6:9" ht="15" customHeight="1" x14ac:dyDescent="0.25">
      <c r="F800" s="135" t="s">
        <v>629</v>
      </c>
      <c r="G800" s="140">
        <v>0.36</v>
      </c>
      <c r="H800" s="87" t="s">
        <v>17</v>
      </c>
      <c r="I800" s="136">
        <v>5</v>
      </c>
    </row>
    <row r="801" spans="6:9" ht="15" customHeight="1" x14ac:dyDescent="0.25">
      <c r="F801" s="135" t="s">
        <v>1241</v>
      </c>
      <c r="G801" s="140">
        <v>0.86</v>
      </c>
      <c r="H801" s="87" t="s">
        <v>777</v>
      </c>
      <c r="I801" s="136">
        <v>4</v>
      </c>
    </row>
    <row r="802" spans="6:9" ht="15" customHeight="1" x14ac:dyDescent="0.25">
      <c r="F802" s="135" t="s">
        <v>1242</v>
      </c>
      <c r="G802" s="140">
        <v>0.7</v>
      </c>
      <c r="H802" s="87" t="s">
        <v>777</v>
      </c>
      <c r="I802" s="136">
        <v>4</v>
      </c>
    </row>
    <row r="803" spans="6:9" ht="15" customHeight="1" x14ac:dyDescent="0.25">
      <c r="F803" s="135" t="s">
        <v>1243</v>
      </c>
      <c r="G803" s="140">
        <v>0.78</v>
      </c>
      <c r="H803" s="87" t="s">
        <v>777</v>
      </c>
      <c r="I803" s="136">
        <v>4</v>
      </c>
    </row>
    <row r="804" spans="6:9" ht="15" customHeight="1" x14ac:dyDescent="0.25">
      <c r="F804" s="135" t="s">
        <v>1244</v>
      </c>
      <c r="G804" s="140">
        <v>0.64</v>
      </c>
      <c r="H804" s="87" t="s">
        <v>777</v>
      </c>
      <c r="I804" s="136">
        <v>4</v>
      </c>
    </row>
    <row r="805" spans="6:9" ht="15" customHeight="1" x14ac:dyDescent="0.25">
      <c r="F805" s="135" t="s">
        <v>630</v>
      </c>
      <c r="G805" s="140">
        <v>0.47</v>
      </c>
      <c r="H805" s="87" t="s">
        <v>17</v>
      </c>
      <c r="I805" s="136">
        <v>5</v>
      </c>
    </row>
    <row r="806" spans="6:9" ht="15" customHeight="1" x14ac:dyDescent="0.25">
      <c r="F806" s="135" t="s">
        <v>1245</v>
      </c>
      <c r="G806" s="140">
        <v>0.69</v>
      </c>
      <c r="H806" s="87" t="s">
        <v>17</v>
      </c>
      <c r="I806" s="136">
        <v>5</v>
      </c>
    </row>
    <row r="807" spans="6:9" ht="15" customHeight="1" x14ac:dyDescent="0.25">
      <c r="F807" s="135" t="s">
        <v>1246</v>
      </c>
      <c r="G807" s="140">
        <v>0.7</v>
      </c>
      <c r="H807" s="87" t="s">
        <v>16</v>
      </c>
      <c r="I807" s="136">
        <v>5</v>
      </c>
    </row>
    <row r="808" spans="6:9" ht="15" customHeight="1" x14ac:dyDescent="0.25">
      <c r="F808" s="135" t="s">
        <v>1247</v>
      </c>
      <c r="G808" s="140">
        <v>0.5</v>
      </c>
      <c r="H808" s="87" t="s">
        <v>777</v>
      </c>
      <c r="I808" s="136">
        <v>4</v>
      </c>
    </row>
    <row r="809" spans="6:9" ht="15" customHeight="1" x14ac:dyDescent="0.25">
      <c r="F809" s="135" t="s">
        <v>1248</v>
      </c>
      <c r="G809" s="140">
        <v>0.35</v>
      </c>
      <c r="H809" s="87" t="s">
        <v>777</v>
      </c>
      <c r="I809" s="136">
        <v>1</v>
      </c>
    </row>
    <row r="810" spans="6:9" ht="15" customHeight="1" x14ac:dyDescent="0.25">
      <c r="F810" s="135" t="s">
        <v>1249</v>
      </c>
      <c r="G810" s="140">
        <v>0.37</v>
      </c>
      <c r="H810" s="87" t="s">
        <v>777</v>
      </c>
      <c r="I810" s="136">
        <v>1</v>
      </c>
    </row>
    <row r="811" spans="6:9" ht="15" customHeight="1" x14ac:dyDescent="0.25">
      <c r="F811" s="135" t="s">
        <v>1250</v>
      </c>
      <c r="G811" s="140">
        <v>0.41</v>
      </c>
      <c r="H811" s="87" t="s">
        <v>777</v>
      </c>
      <c r="I811" s="136">
        <v>5</v>
      </c>
    </row>
    <row r="812" spans="6:9" ht="15" customHeight="1" x14ac:dyDescent="0.25">
      <c r="F812" s="135" t="s">
        <v>1251</v>
      </c>
      <c r="G812" s="140">
        <v>0.4</v>
      </c>
      <c r="H812" s="87" t="s">
        <v>16</v>
      </c>
      <c r="I812" s="136">
        <v>5</v>
      </c>
    </row>
    <row r="813" spans="6:9" ht="15" customHeight="1" x14ac:dyDescent="0.25">
      <c r="F813" s="135" t="s">
        <v>1252</v>
      </c>
      <c r="G813" s="140" t="s">
        <v>1253</v>
      </c>
      <c r="H813" s="87" t="s">
        <v>777</v>
      </c>
      <c r="I813" s="136">
        <v>5</v>
      </c>
    </row>
    <row r="814" spans="6:9" ht="15" customHeight="1" x14ac:dyDescent="0.25">
      <c r="F814" s="135" t="s">
        <v>1252</v>
      </c>
      <c r="G814" s="140">
        <v>0.65</v>
      </c>
      <c r="H814" s="87" t="s">
        <v>17</v>
      </c>
      <c r="I814" s="136">
        <v>5</v>
      </c>
    </row>
    <row r="815" spans="6:9" ht="15" customHeight="1" x14ac:dyDescent="0.25">
      <c r="F815" s="135" t="s">
        <v>599</v>
      </c>
      <c r="G815" s="140">
        <v>0.6</v>
      </c>
      <c r="H815" s="87" t="s">
        <v>777</v>
      </c>
      <c r="I815" s="136">
        <v>5</v>
      </c>
    </row>
    <row r="816" spans="6:9" ht="15" customHeight="1" x14ac:dyDescent="0.25">
      <c r="F816" s="135" t="s">
        <v>1254</v>
      </c>
      <c r="G816" s="140">
        <v>0.28999999999999998</v>
      </c>
      <c r="H816" s="87" t="s">
        <v>777</v>
      </c>
      <c r="I816" s="136">
        <v>1</v>
      </c>
    </row>
    <row r="817" spans="6:9" ht="15" customHeight="1" x14ac:dyDescent="0.25">
      <c r="F817" s="135" t="s">
        <v>1255</v>
      </c>
      <c r="G817" s="140">
        <v>0.37</v>
      </c>
      <c r="H817" s="87" t="s">
        <v>777</v>
      </c>
      <c r="I817" s="136">
        <v>1</v>
      </c>
    </row>
    <row r="818" spans="6:9" ht="15" customHeight="1" x14ac:dyDescent="0.25">
      <c r="F818" s="135" t="s">
        <v>1256</v>
      </c>
      <c r="G818" s="140">
        <v>0.53</v>
      </c>
      <c r="H818" s="87" t="s">
        <v>777</v>
      </c>
      <c r="I818" s="136">
        <v>4</v>
      </c>
    </row>
    <row r="819" spans="6:9" ht="15" customHeight="1" x14ac:dyDescent="0.25">
      <c r="F819" s="135" t="s">
        <v>1257</v>
      </c>
      <c r="G819" s="140">
        <v>0.49</v>
      </c>
      <c r="H819" s="87" t="s">
        <v>777</v>
      </c>
      <c r="I819" s="136">
        <v>1</v>
      </c>
    </row>
    <row r="820" spans="6:9" ht="15" customHeight="1" x14ac:dyDescent="0.25">
      <c r="F820" s="135" t="s">
        <v>1258</v>
      </c>
      <c r="G820" s="140">
        <v>0.36</v>
      </c>
      <c r="H820" s="87" t="s">
        <v>777</v>
      </c>
      <c r="I820" s="136">
        <v>1</v>
      </c>
    </row>
    <row r="821" spans="6:9" ht="15" customHeight="1" x14ac:dyDescent="0.25">
      <c r="F821" s="135" t="s">
        <v>1259</v>
      </c>
      <c r="G821" s="140">
        <v>0.47</v>
      </c>
      <c r="H821" s="87" t="s">
        <v>777</v>
      </c>
      <c r="I821" s="136">
        <v>4</v>
      </c>
    </row>
    <row r="822" spans="6:9" ht="15" customHeight="1" x14ac:dyDescent="0.25">
      <c r="F822" s="135" t="s">
        <v>1260</v>
      </c>
      <c r="G822" s="140">
        <v>0.51</v>
      </c>
      <c r="H822" s="87" t="s">
        <v>777</v>
      </c>
      <c r="I822" s="136">
        <v>4</v>
      </c>
    </row>
    <row r="823" spans="6:9" ht="15" customHeight="1" x14ac:dyDescent="0.25">
      <c r="F823" s="135" t="s">
        <v>1261</v>
      </c>
      <c r="G823" s="140">
        <v>0.5</v>
      </c>
      <c r="H823" s="87" t="s">
        <v>777</v>
      </c>
      <c r="I823" s="136">
        <v>4</v>
      </c>
    </row>
    <row r="824" spans="6:9" ht="15" customHeight="1" x14ac:dyDescent="0.25">
      <c r="F824" s="135" t="s">
        <v>1262</v>
      </c>
      <c r="G824" s="140">
        <v>0.66</v>
      </c>
      <c r="H824" s="87" t="s">
        <v>777</v>
      </c>
      <c r="I824" s="136">
        <v>4</v>
      </c>
    </row>
    <row r="825" spans="6:9" ht="15" customHeight="1" x14ac:dyDescent="0.25">
      <c r="F825" s="135" t="s">
        <v>601</v>
      </c>
      <c r="G825" s="140">
        <v>0.79</v>
      </c>
      <c r="H825" s="87" t="s">
        <v>777</v>
      </c>
      <c r="I825" s="136">
        <v>4</v>
      </c>
    </row>
    <row r="826" spans="6:9" ht="15" customHeight="1" x14ac:dyDescent="0.25">
      <c r="F826" s="135" t="s">
        <v>602</v>
      </c>
      <c r="G826" s="140">
        <v>0.56000000000000005</v>
      </c>
      <c r="H826" s="87" t="s">
        <v>777</v>
      </c>
      <c r="I826" s="136">
        <v>5</v>
      </c>
    </row>
    <row r="827" spans="6:9" ht="15" customHeight="1" x14ac:dyDescent="0.25">
      <c r="F827" s="135" t="s">
        <v>631</v>
      </c>
      <c r="G827" s="140">
        <v>0.75</v>
      </c>
      <c r="H827" s="87" t="s">
        <v>17</v>
      </c>
      <c r="I827" s="136">
        <v>5</v>
      </c>
    </row>
    <row r="828" spans="6:9" ht="15" customHeight="1" x14ac:dyDescent="0.25">
      <c r="F828" s="135" t="s">
        <v>632</v>
      </c>
      <c r="G828" s="140">
        <v>0.63</v>
      </c>
      <c r="H828" s="87" t="s">
        <v>17</v>
      </c>
      <c r="I828" s="136">
        <v>5</v>
      </c>
    </row>
    <row r="829" spans="6:9" ht="15" customHeight="1" x14ac:dyDescent="0.25">
      <c r="F829" s="135" t="s">
        <v>603</v>
      </c>
      <c r="G829" s="140">
        <v>0.46</v>
      </c>
      <c r="H829" s="87" t="s">
        <v>777</v>
      </c>
      <c r="I829" s="136">
        <v>5</v>
      </c>
    </row>
    <row r="830" spans="6:9" ht="15" customHeight="1" x14ac:dyDescent="0.25">
      <c r="F830" s="135" t="s">
        <v>1263</v>
      </c>
      <c r="G830" s="140">
        <v>0.44</v>
      </c>
      <c r="H830" s="87" t="s">
        <v>777</v>
      </c>
      <c r="I830" s="136">
        <v>5</v>
      </c>
    </row>
    <row r="831" spans="6:9" ht="15" customHeight="1" x14ac:dyDescent="0.25">
      <c r="F831" s="135" t="s">
        <v>633</v>
      </c>
      <c r="G831" s="140" t="s">
        <v>1264</v>
      </c>
      <c r="H831" s="87" t="s">
        <v>17</v>
      </c>
      <c r="I831" s="136">
        <v>5</v>
      </c>
    </row>
    <row r="832" spans="6:9" ht="15" customHeight="1" x14ac:dyDescent="0.25">
      <c r="F832" s="135" t="s">
        <v>604</v>
      </c>
      <c r="G832" s="140">
        <v>0.64</v>
      </c>
      <c r="H832" s="87" t="s">
        <v>777</v>
      </c>
      <c r="I832" s="136">
        <v>5</v>
      </c>
    </row>
    <row r="833" spans="6:9" ht="15" customHeight="1" x14ac:dyDescent="0.25">
      <c r="F833" s="135" t="s">
        <v>1265</v>
      </c>
      <c r="G833" s="140">
        <v>0.56999999999999995</v>
      </c>
      <c r="H833" s="87" t="s">
        <v>777</v>
      </c>
      <c r="I833" s="136">
        <v>4</v>
      </c>
    </row>
    <row r="834" spans="6:9" ht="15" customHeight="1" x14ac:dyDescent="0.25">
      <c r="F834" s="135" t="s">
        <v>1266</v>
      </c>
      <c r="G834" s="140">
        <v>0.36</v>
      </c>
      <c r="H834" s="87" t="s">
        <v>16</v>
      </c>
      <c r="I834" s="136">
        <v>5</v>
      </c>
    </row>
    <row r="835" spans="6:9" ht="15" customHeight="1" x14ac:dyDescent="0.25">
      <c r="F835" s="135" t="s">
        <v>634</v>
      </c>
      <c r="G835" s="140">
        <v>0.33</v>
      </c>
      <c r="H835" s="87" t="s">
        <v>17</v>
      </c>
      <c r="I835" s="136">
        <v>5</v>
      </c>
    </row>
    <row r="836" spans="6:9" ht="15" customHeight="1" thickBot="1" x14ac:dyDescent="0.3">
      <c r="F836" s="137" t="s">
        <v>1267</v>
      </c>
      <c r="G836" s="141">
        <v>0.76</v>
      </c>
      <c r="H836" s="138" t="s">
        <v>17</v>
      </c>
      <c r="I836" s="139">
        <v>5</v>
      </c>
    </row>
  </sheetData>
  <sheetProtection algorithmName="SHA-512" hashValue="WJGzqpRidVOy/am+PvCEE+IBQAYvpjO4VMTWXVEyyCYyavCEBblKVu2ItJ8/39KeAga5qx4Zp5z5ZC9KRz9gfA==" saltValue="JeKtiJtly+HLKu6TJWBaoQ==" spinCount="100000" sheet="1" objects="1" scenarios="1"/>
  <autoFilter ref="F14:I836" xr:uid="{00000000-0009-0000-0000-000003000000}"/>
  <mergeCells count="65">
    <mergeCell ref="W7:AA9"/>
    <mergeCell ref="Z13:AD13"/>
    <mergeCell ref="AA25:AA34"/>
    <mergeCell ref="AA117:AA119"/>
    <mergeCell ref="AA108:AA113"/>
    <mergeCell ref="AA101:AA107"/>
    <mergeCell ref="AA70:AA79"/>
    <mergeCell ref="AA15:AA24"/>
    <mergeCell ref="Z15:Z34"/>
    <mergeCell ref="Z64:Z100"/>
    <mergeCell ref="Z101:Z113"/>
    <mergeCell ref="Z114:Z119"/>
    <mergeCell ref="Z35:Z54"/>
    <mergeCell ref="Z55:Z63"/>
    <mergeCell ref="AA64:AA69"/>
    <mergeCell ref="AA80:AA90"/>
    <mergeCell ref="AA91:AA100"/>
    <mergeCell ref="AA114:AA116"/>
    <mergeCell ref="AA35:AA44"/>
    <mergeCell ref="AA45:AA53"/>
    <mergeCell ref="AA54:AA63"/>
    <mergeCell ref="T13:X13"/>
    <mergeCell ref="T50:T61"/>
    <mergeCell ref="U50:U53"/>
    <mergeCell ref="U54:U57"/>
    <mergeCell ref="U58:U61"/>
    <mergeCell ref="T15:T34"/>
    <mergeCell ref="U15:U18"/>
    <mergeCell ref="U19:U22"/>
    <mergeCell ref="U23:U26"/>
    <mergeCell ref="U27:U30"/>
    <mergeCell ref="U31:U34"/>
    <mergeCell ref="T62:T66"/>
    <mergeCell ref="U63:U64"/>
    <mergeCell ref="U65:U66"/>
    <mergeCell ref="T35:T49"/>
    <mergeCell ref="U35:U37"/>
    <mergeCell ref="U38:U41"/>
    <mergeCell ref="U42:U45"/>
    <mergeCell ref="U46:U49"/>
    <mergeCell ref="B12:D12"/>
    <mergeCell ref="B13:D13"/>
    <mergeCell ref="L33:L35"/>
    <mergeCell ref="M33:M35"/>
    <mergeCell ref="K15:K20"/>
    <mergeCell ref="L15:L17"/>
    <mergeCell ref="M15:M17"/>
    <mergeCell ref="L18:L20"/>
    <mergeCell ref="M18:M20"/>
    <mergeCell ref="K36:O40"/>
    <mergeCell ref="F12:I12"/>
    <mergeCell ref="F13:I13"/>
    <mergeCell ref="E8:F8"/>
    <mergeCell ref="K6:O12"/>
    <mergeCell ref="K13:O13"/>
    <mergeCell ref="K21:K29"/>
    <mergeCell ref="L21:L23"/>
    <mergeCell ref="M21:M23"/>
    <mergeCell ref="L24:L26"/>
    <mergeCell ref="M24:M26"/>
    <mergeCell ref="L27:L29"/>
    <mergeCell ref="M27:M29"/>
    <mergeCell ref="K30:K35"/>
    <mergeCell ref="L30:L32"/>
    <mergeCell ref="M30:M3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L23"/>
  <sheetViews>
    <sheetView showGridLines="0" zoomScaleNormal="100" workbookViewId="0">
      <pane ySplit="1" topLeftCell="A3" activePane="bottomLeft" state="frozen"/>
      <selection activeCell="E18" sqref="E18"/>
      <selection pane="bottomLeft" activeCell="A4" sqref="A4"/>
    </sheetView>
  </sheetViews>
  <sheetFormatPr defaultColWidth="11.42578125" defaultRowHeight="15" customHeight="1" x14ac:dyDescent="0.25"/>
  <cols>
    <col min="1" max="1" width="11.42578125" style="3"/>
    <col min="2" max="2" width="30" style="52" customWidth="1"/>
    <col min="3" max="3" width="27" style="52" customWidth="1"/>
    <col min="4" max="4" width="28" style="52" bestFit="1" customWidth="1"/>
    <col min="5" max="5" width="24.7109375" style="52" customWidth="1"/>
    <col min="6" max="6" width="15.85546875" style="3" customWidth="1"/>
    <col min="7" max="7" width="15.85546875" style="3" hidden="1" customWidth="1"/>
    <col min="8" max="8" width="30.7109375" style="3" hidden="1" customWidth="1"/>
    <col min="9" max="9" width="11.28515625" style="3" hidden="1" customWidth="1"/>
    <col min="10" max="10" width="14.85546875" style="3" hidden="1" customWidth="1"/>
    <col min="11" max="11" width="11.28515625" style="3" hidden="1" customWidth="1"/>
    <col min="12" max="13" width="11.28515625" style="3" customWidth="1"/>
    <col min="14" max="15" width="11.42578125" style="3"/>
    <col min="16" max="17" width="10.28515625" style="3" customWidth="1"/>
    <col min="18" max="18" width="19" style="3" customWidth="1"/>
    <col min="19" max="16384" width="11.42578125" style="3"/>
  </cols>
  <sheetData>
    <row r="1" spans="2:12" s="32" customFormat="1" ht="120" customHeight="1" x14ac:dyDescent="0.25"/>
    <row r="2" spans="2:12" ht="13.5" customHeight="1" x14ac:dyDescent="0.25">
      <c r="B2" s="3"/>
      <c r="C2" s="3"/>
      <c r="D2" s="3"/>
      <c r="E2" s="48"/>
    </row>
    <row r="3" spans="2:12" ht="13.5" customHeight="1" x14ac:dyDescent="0.3">
      <c r="B3" s="8" t="s">
        <v>769</v>
      </c>
      <c r="C3" s="3"/>
      <c r="D3" s="3"/>
      <c r="E3" s="48"/>
    </row>
    <row r="4" spans="2:12" ht="13.5" customHeight="1" x14ac:dyDescent="0.25">
      <c r="B4" s="3"/>
      <c r="C4" s="3"/>
      <c r="D4" s="3"/>
      <c r="E4" s="48"/>
    </row>
    <row r="5" spans="2:12" ht="13.5" customHeight="1" x14ac:dyDescent="0.25">
      <c r="B5" s="155"/>
      <c r="C5" s="155"/>
      <c r="D5" s="155"/>
      <c r="E5" s="155"/>
      <c r="F5" s="155"/>
      <c r="G5" s="155"/>
      <c r="H5" s="155"/>
    </row>
    <row r="6" spans="2:12" ht="15" customHeight="1" x14ac:dyDescent="0.25">
      <c r="B6" s="155"/>
      <c r="C6" s="155"/>
      <c r="D6" s="155"/>
      <c r="E6" s="155"/>
      <c r="F6" s="155"/>
      <c r="G6" s="155"/>
      <c r="H6" s="155"/>
      <c r="I6" s="78"/>
      <c r="J6" s="78"/>
      <c r="K6" s="78"/>
      <c r="L6" s="78"/>
    </row>
    <row r="7" spans="2:12" ht="15" customHeight="1" x14ac:dyDescent="0.25">
      <c r="B7" s="155"/>
      <c r="C7" s="155"/>
      <c r="D7" s="155"/>
      <c r="E7" s="155"/>
      <c r="F7" s="155"/>
      <c r="G7" s="155"/>
      <c r="H7" s="155"/>
      <c r="I7" s="78"/>
      <c r="J7" s="78"/>
      <c r="K7" s="78"/>
      <c r="L7" s="78"/>
    </row>
    <row r="8" spans="2:12" ht="15" customHeight="1" x14ac:dyDescent="0.25">
      <c r="B8" s="155"/>
      <c r="C8" s="155"/>
      <c r="D8" s="155"/>
      <c r="E8" s="155"/>
      <c r="F8" s="155"/>
      <c r="G8" s="155"/>
      <c r="H8" s="155"/>
      <c r="I8" s="78"/>
      <c r="J8" s="78"/>
      <c r="K8" s="78"/>
      <c r="L8" s="78"/>
    </row>
    <row r="9" spans="2:12" ht="15" customHeight="1" x14ac:dyDescent="0.25">
      <c r="B9" s="155"/>
      <c r="C9" s="155"/>
      <c r="D9" s="155"/>
      <c r="E9" s="155"/>
      <c r="F9" s="155"/>
      <c r="G9" s="155"/>
      <c r="H9" s="155"/>
      <c r="I9" s="78"/>
      <c r="J9" s="78"/>
      <c r="K9" s="78"/>
      <c r="L9" s="78"/>
    </row>
    <row r="10" spans="2:12" ht="15" customHeight="1" x14ac:dyDescent="0.25">
      <c r="B10" s="155"/>
      <c r="C10" s="155"/>
      <c r="D10" s="155"/>
      <c r="E10" s="155"/>
      <c r="F10" s="155"/>
      <c r="G10" s="155"/>
      <c r="H10" s="155"/>
      <c r="I10" s="78"/>
      <c r="J10" s="78"/>
      <c r="K10" s="78"/>
      <c r="L10" s="78"/>
    </row>
    <row r="11" spans="2:12" ht="15" customHeight="1" x14ac:dyDescent="0.25">
      <c r="B11" s="155"/>
      <c r="C11" s="155"/>
      <c r="D11" s="155"/>
      <c r="E11" s="155"/>
      <c r="F11" s="155"/>
      <c r="G11" s="155"/>
      <c r="H11" s="155"/>
      <c r="I11" s="78"/>
      <c r="J11" s="78"/>
      <c r="K11" s="78"/>
      <c r="L11" s="78"/>
    </row>
    <row r="12" spans="2:12" ht="27" customHeight="1" x14ac:dyDescent="0.25">
      <c r="B12" s="155"/>
      <c r="C12" s="155"/>
      <c r="D12" s="155"/>
      <c r="E12" s="155"/>
      <c r="F12" s="155"/>
      <c r="G12" s="155"/>
      <c r="H12" s="155"/>
      <c r="I12" s="78"/>
      <c r="J12" s="78"/>
      <c r="K12" s="78"/>
      <c r="L12" s="78"/>
    </row>
    <row r="13" spans="2:12" ht="15" customHeight="1" x14ac:dyDescent="0.25">
      <c r="B13" s="129"/>
      <c r="C13" s="129"/>
      <c r="D13" s="129"/>
      <c r="E13" s="129"/>
      <c r="F13" s="129"/>
      <c r="G13" s="129"/>
      <c r="H13" s="129"/>
      <c r="I13" s="78"/>
      <c r="J13" s="78"/>
      <c r="K13" s="78"/>
      <c r="L13" s="78"/>
    </row>
    <row r="14" spans="2:12" ht="15" customHeight="1" x14ac:dyDescent="0.25">
      <c r="B14" s="129"/>
      <c r="C14" s="129"/>
      <c r="D14" s="129"/>
      <c r="E14" s="129"/>
      <c r="F14" s="129"/>
      <c r="G14" s="129"/>
      <c r="H14" s="129"/>
      <c r="I14" s="78"/>
      <c r="J14" s="78"/>
      <c r="K14" s="78"/>
      <c r="L14" s="78"/>
    </row>
    <row r="15" spans="2:12" ht="15" customHeight="1" x14ac:dyDescent="0.25">
      <c r="B15" s="131"/>
      <c r="C15" s="3"/>
      <c r="D15" s="3"/>
      <c r="E15" s="3"/>
      <c r="F15" s="35"/>
      <c r="G15" s="79"/>
      <c r="H15" s="79"/>
      <c r="I15" s="79"/>
      <c r="J15" s="79"/>
      <c r="K15" s="78"/>
      <c r="L15" s="78"/>
    </row>
    <row r="16" spans="2:12" ht="15" customHeight="1" x14ac:dyDescent="0.25">
      <c r="B16" s="3"/>
      <c r="C16" s="3"/>
      <c r="D16" s="3"/>
      <c r="E16" s="3"/>
      <c r="F16" s="79"/>
      <c r="G16" s="79"/>
      <c r="H16" s="79"/>
      <c r="I16" s="79"/>
      <c r="J16" s="79"/>
      <c r="K16" s="78"/>
      <c r="L16" s="78"/>
    </row>
    <row r="17" spans="1:12" ht="62.25" customHeight="1" thickBot="1" x14ac:dyDescent="0.3">
      <c r="B17" s="322" t="s">
        <v>725</v>
      </c>
      <c r="C17" s="439" t="s">
        <v>1551</v>
      </c>
      <c r="D17" s="315" t="s">
        <v>726</v>
      </c>
      <c r="E17" s="439" t="s">
        <v>1550</v>
      </c>
      <c r="F17" s="79"/>
      <c r="G17" s="79"/>
      <c r="H17" s="357" t="s">
        <v>753</v>
      </c>
      <c r="I17" s="358" t="s">
        <v>14</v>
      </c>
      <c r="J17" s="359" t="s">
        <v>11</v>
      </c>
      <c r="K17" s="78"/>
      <c r="L17" s="78"/>
    </row>
    <row r="18" spans="1:12" ht="15" customHeight="1" x14ac:dyDescent="0.25">
      <c r="A18" s="15" t="s">
        <v>1495</v>
      </c>
      <c r="B18" s="135" t="s">
        <v>787</v>
      </c>
      <c r="C18" s="440">
        <v>0.69</v>
      </c>
      <c r="D18" s="50">
        <v>0.47</v>
      </c>
      <c r="E18" s="50">
        <v>3.4</v>
      </c>
      <c r="F18" s="79"/>
      <c r="G18" s="79"/>
      <c r="H18" s="360" t="s">
        <v>19</v>
      </c>
      <c r="I18" s="361">
        <f>IF(Accuracy!$E$9="No",0,0.47)</f>
        <v>0.47</v>
      </c>
      <c r="J18" s="340" t="s">
        <v>663</v>
      </c>
      <c r="K18" s="78"/>
      <c r="L18" s="78"/>
    </row>
    <row r="19" spans="1:12" ht="15" customHeight="1" x14ac:dyDescent="0.25">
      <c r="B19" s="135" t="s">
        <v>280</v>
      </c>
      <c r="C19" s="440">
        <v>0.67</v>
      </c>
      <c r="D19" s="50">
        <v>0.47</v>
      </c>
      <c r="E19" s="50">
        <v>3.4</v>
      </c>
      <c r="F19" s="79"/>
      <c r="G19" s="79"/>
      <c r="H19" s="360" t="s">
        <v>661</v>
      </c>
      <c r="I19" s="361">
        <f>IF(Accuracy!E9="No",0,0.4)</f>
        <v>0.4</v>
      </c>
      <c r="J19" s="340" t="s">
        <v>663</v>
      </c>
      <c r="K19" s="78"/>
      <c r="L19" s="78"/>
    </row>
    <row r="20" spans="1:12" ht="15" customHeight="1" x14ac:dyDescent="0.25">
      <c r="B20" s="475" t="s">
        <v>788</v>
      </c>
      <c r="C20" s="440">
        <v>0.56000000000000005</v>
      </c>
      <c r="D20" s="476">
        <v>0.47</v>
      </c>
      <c r="E20" s="477">
        <v>3.4</v>
      </c>
      <c r="F20" s="79"/>
      <c r="G20" s="79"/>
      <c r="H20" s="360" t="s">
        <v>20</v>
      </c>
      <c r="I20" s="361">
        <f>IF(Accuracy!E9="No",0,0.1)</f>
        <v>0.1</v>
      </c>
      <c r="J20" s="340" t="s">
        <v>663</v>
      </c>
      <c r="K20" s="78"/>
      <c r="L20" s="78"/>
    </row>
    <row r="21" spans="1:12" ht="15" customHeight="1" x14ac:dyDescent="0.25">
      <c r="F21" s="79"/>
      <c r="G21" s="79"/>
      <c r="H21" s="79" t="s">
        <v>754</v>
      </c>
      <c r="I21" s="361">
        <f>IF(Accuracy!E9="No",0,0.5)</f>
        <v>0.5</v>
      </c>
      <c r="J21" s="79" t="s">
        <v>663</v>
      </c>
      <c r="K21" s="78"/>
      <c r="L21" s="78"/>
    </row>
    <row r="22" spans="1:12" ht="15" customHeight="1" x14ac:dyDescent="0.25">
      <c r="F22" s="79"/>
      <c r="G22" s="79"/>
      <c r="H22" s="79"/>
      <c r="I22" s="98"/>
      <c r="J22" s="79"/>
      <c r="K22" s="78"/>
      <c r="L22" s="78"/>
    </row>
    <row r="23" spans="1:12" ht="15" customHeight="1" x14ac:dyDescent="0.25">
      <c r="F23" s="35"/>
      <c r="G23" s="79"/>
      <c r="H23" s="79"/>
      <c r="I23" s="79"/>
      <c r="J23" s="79"/>
      <c r="K23" s="78"/>
      <c r="L23" s="78"/>
    </row>
  </sheetData>
  <sheetProtection algorithmName="SHA-512" hashValue="1uqWUvif+clpkKrbaopdSJiW72zLAtxbHLcP7qaYSoSPLeQfNgTmYiOJkbDyYwls+eWnAAIOYLQ2DErpXzQkIg==" saltValue="imzJBlvLrG2L3fy2wSErCw==" spinCount="100000" sheet="1" objects="1" scenarios="1" formatRows="0" insertRows="0" deleteRows="0"/>
  <conditionalFormatting sqref="B18:E20">
    <cfRule type="expression" dxfId="15" priority="4">
      <formula>$B18&lt;&gt;""</formula>
    </cfRule>
  </conditionalFormatting>
  <pageMargins left="0.7" right="0.7" top="0.75" bottom="0.75" header="0.3" footer="0.3"/>
  <ignoredErrors>
    <ignoredError sqref="I18" unlockedFormula="1"/>
  </ignoredErrors>
  <drawing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4"/>
  <dimension ref="B1:R20"/>
  <sheetViews>
    <sheetView showGridLines="0" zoomScaleNormal="100" workbookViewId="0">
      <pane ySplit="1" topLeftCell="A2" activePane="bottomLeft" state="frozen"/>
      <selection activeCell="E18" sqref="E18"/>
      <selection pane="bottomLeft" activeCell="A4" sqref="A4"/>
    </sheetView>
  </sheetViews>
  <sheetFormatPr defaultColWidth="11.42578125" defaultRowHeight="15" x14ac:dyDescent="0.25"/>
  <cols>
    <col min="1" max="1" width="5.42578125" style="3" customWidth="1"/>
    <col min="2" max="2" width="21.7109375" style="52" customWidth="1"/>
    <col min="3" max="3" width="26.85546875" style="52" bestFit="1" customWidth="1"/>
    <col min="4" max="4" width="16" style="52" customWidth="1"/>
    <col min="5" max="5" width="17.7109375" style="52" customWidth="1"/>
    <col min="6" max="6" width="15.85546875" style="52" hidden="1" customWidth="1"/>
    <col min="7" max="7" width="21.85546875" style="83" hidden="1" customWidth="1"/>
    <col min="8" max="8" width="15.7109375" style="10" hidden="1" customWidth="1"/>
    <col min="9" max="15" width="11.42578125" style="10"/>
    <col min="16" max="16" width="11.42578125" style="10" hidden="1" customWidth="1"/>
    <col min="17" max="18" width="11.42578125" style="10"/>
    <col min="19" max="16384" width="11.42578125" style="3"/>
  </cols>
  <sheetData>
    <row r="1" spans="2:18" s="32" customFormat="1" ht="120" customHeight="1" x14ac:dyDescent="0.25">
      <c r="B1" s="51"/>
      <c r="C1" s="51"/>
      <c r="D1" s="51"/>
      <c r="E1" s="51"/>
      <c r="F1" s="51"/>
      <c r="G1" s="84"/>
      <c r="H1" s="85"/>
      <c r="I1" s="85"/>
      <c r="J1" s="85"/>
      <c r="K1" s="85"/>
      <c r="L1" s="85"/>
      <c r="M1" s="85"/>
      <c r="N1" s="85"/>
      <c r="O1" s="85"/>
      <c r="P1" s="85"/>
      <c r="Q1" s="85"/>
      <c r="R1" s="85"/>
    </row>
    <row r="2" spans="2:18" ht="14.25" customHeight="1" x14ac:dyDescent="0.25"/>
    <row r="3" spans="2:18" ht="14.25" customHeight="1" x14ac:dyDescent="0.3">
      <c r="B3" s="8"/>
    </row>
    <row r="4" spans="2:18" ht="14.25" customHeight="1" x14ac:dyDescent="0.25">
      <c r="B4" s="3"/>
    </row>
    <row r="5" spans="2:18" ht="14.25" customHeight="1" x14ac:dyDescent="0.3">
      <c r="B5" s="130"/>
    </row>
    <row r="6" spans="2:18" ht="14.25" customHeight="1" x14ac:dyDescent="0.25"/>
    <row r="7" spans="2:18" ht="14.25" customHeight="1" x14ac:dyDescent="0.25">
      <c r="F7" s="83"/>
    </row>
    <row r="8" spans="2:18" ht="14.25" customHeight="1" x14ac:dyDescent="0.25">
      <c r="F8" s="83"/>
    </row>
    <row r="9" spans="2:18" x14ac:dyDescent="0.25">
      <c r="B9" s="3"/>
      <c r="F9" s="83"/>
    </row>
    <row r="10" spans="2:18" x14ac:dyDescent="0.25">
      <c r="B10" s="3"/>
      <c r="F10" s="83"/>
    </row>
    <row r="11" spans="2:18" x14ac:dyDescent="0.25">
      <c r="B11" s="3"/>
      <c r="F11" s="83"/>
    </row>
    <row r="12" spans="2:18" x14ac:dyDescent="0.25">
      <c r="B12" s="3"/>
      <c r="F12" s="83"/>
    </row>
    <row r="13" spans="2:18" x14ac:dyDescent="0.25">
      <c r="B13" s="3"/>
      <c r="F13" s="83"/>
    </row>
    <row r="14" spans="2:18" ht="19.5" customHeight="1" thickBot="1" x14ac:dyDescent="0.3">
      <c r="F14" s="97"/>
      <c r="G14" s="97"/>
      <c r="H14" s="78"/>
      <c r="I14" s="78"/>
      <c r="J14" s="78"/>
      <c r="K14" s="78"/>
    </row>
    <row r="15" spans="2:18" ht="16.5" thickBot="1" x14ac:dyDescent="0.3">
      <c r="B15" s="71" t="s">
        <v>0</v>
      </c>
      <c r="C15" s="72" t="s">
        <v>755</v>
      </c>
      <c r="D15" s="325" t="s">
        <v>9</v>
      </c>
      <c r="E15" s="326" t="s">
        <v>10</v>
      </c>
      <c r="F15" s="204" t="s">
        <v>8</v>
      </c>
      <c r="G15" s="204" t="s">
        <v>24</v>
      </c>
      <c r="H15" s="204" t="s">
        <v>25</v>
      </c>
      <c r="I15" s="79"/>
      <c r="J15" s="78"/>
      <c r="K15" s="78"/>
      <c r="L15" s="78"/>
      <c r="M15" s="78"/>
      <c r="P15" s="212">
        <f>COUNTA(Strata!$B$16:$B$18)</f>
        <v>3</v>
      </c>
      <c r="Q15" s="10" t="str">
        <f>IF('General Data'!J17="Temperate","Temperate/Boreal",IF('General Data'!J17="Boreal","Temperate/Boreal",IF('General Data'!J17="Tropical","Tropical","")))</f>
        <v>Tropical</v>
      </c>
      <c r="R15" s="3"/>
    </row>
    <row r="16" spans="2:18" x14ac:dyDescent="0.25">
      <c r="B16" s="384" t="s">
        <v>1583</v>
      </c>
      <c r="C16" s="417">
        <v>200</v>
      </c>
      <c r="D16" s="327" t="s">
        <v>1584</v>
      </c>
      <c r="E16" s="327" t="s">
        <v>1585</v>
      </c>
      <c r="F16" s="352" t="str">
        <f>IF(OR(Accuracy!$E$11="Yes",Accuracy!$E$13="Yes"),IF(B16&lt;&gt;"",$Q$15,""),"")</f>
        <v>Tropical</v>
      </c>
      <c r="G16" s="353">
        <f>IF(B16&lt;&gt;"",IF(Accuracy!$E$11="Yes",IF(F16="Temperate/Boreal",0.08,IF(D16="&gt; 2000m",0.07,IF(E16="&lt; 1000 mm/yr",0.02,IF(E16="&gt; 1600 mm/yr", 0.06,IF(E16="1000-1600 mm/yr",0.01,0))))),0),"")</f>
        <v>0.02</v>
      </c>
      <c r="H16" s="354">
        <f>IF(B16&lt;&gt;"",IF(Accuracy!$E$13="Yes",IF(F16="Temperate/Boreal",0.04,IF(D16="&gt; 2000m",0.01,IF(E16="&lt; 1000 mm/yr",0.04,IF(E16="&gt; 1600 mm/yr", 0.01,IF(E16="1000-1600 mm/yr",0.01,0))))),0),"")</f>
        <v>0.04</v>
      </c>
      <c r="I16" s="79"/>
      <c r="J16" s="78"/>
      <c r="K16" s="78"/>
      <c r="L16" s="78"/>
      <c r="M16" s="78"/>
      <c r="P16" s="78"/>
      <c r="R16" s="3"/>
    </row>
    <row r="17" spans="2:18" x14ac:dyDescent="0.25">
      <c r="B17" s="384" t="s">
        <v>1512</v>
      </c>
      <c r="C17" s="417">
        <v>200</v>
      </c>
      <c r="D17" s="327" t="s">
        <v>1584</v>
      </c>
      <c r="E17" s="327" t="s">
        <v>1585</v>
      </c>
      <c r="F17" s="352" t="str">
        <f>IF(OR(Accuracy!$E$11="Yes",Accuracy!$E$13="Yes"),IF(B17&lt;&gt;"",$Q$15,""),"")</f>
        <v>Tropical</v>
      </c>
      <c r="G17" s="353">
        <f>IF(B17&lt;&gt;"",IF(Accuracy!$E$11="Yes",IF(F17="Temperate/Boreal",0.08,IF(D17="&gt; 2000m",0.07,IF(E17="&lt; 1000 mm/yr",0.02,IF(E17="&gt; 1600 mm/yr", 0.06,IF(E17="1000-1600 mm/yr",0.01,0))))),0),"")</f>
        <v>0.02</v>
      </c>
      <c r="H17" s="354">
        <f>IF(B17&lt;&gt;"",IF(Accuracy!$E$13="Yes",IF(F17="Temperate/Boreal",0.04,IF(D17="&gt; 2000m",0.01,IF(E17="&lt; 1000 mm/yr",0.04,IF(E17="&gt; 1600 mm/yr", 0.01,IF(E17="1000-1600 mm/yr",0.01,0))))),0),"")</f>
        <v>0.04</v>
      </c>
      <c r="I17" s="79"/>
      <c r="J17" s="78"/>
      <c r="K17" s="78"/>
      <c r="L17" s="78"/>
      <c r="M17" s="78"/>
      <c r="R17" s="3"/>
    </row>
    <row r="18" spans="2:18" x14ac:dyDescent="0.25">
      <c r="B18" s="384" t="s">
        <v>1514</v>
      </c>
      <c r="C18" s="417">
        <v>100</v>
      </c>
      <c r="D18" s="327" t="s">
        <v>1584</v>
      </c>
      <c r="E18" s="327" t="s">
        <v>1586</v>
      </c>
      <c r="F18" s="352" t="str">
        <f>IF(OR(Accuracy!$E$11="Yes",Accuracy!$E$13="Yes"),IF(B18&lt;&gt;"",$Q$15,""),"")</f>
        <v>Tropical</v>
      </c>
      <c r="G18" s="353">
        <f>IF(B18&lt;&gt;"",IF(Accuracy!$E$11="Yes",IF(F18="Temperate/Boreal",0.08,IF(D18="&gt; 2000m",0.07,IF(E18="&lt; 1000 mm/yr",0.02,IF(E18="&gt; 1600 mm/yr", 0.06,IF(E18="1000-1600 mm/yr",0.01,0))))),0),"")</f>
        <v>0.01</v>
      </c>
      <c r="H18" s="354">
        <f>IF(B18&lt;&gt;"",IF(Accuracy!$E$13="Yes",IF(F18="Temperate/Boreal",0.04,IF(D18="&gt; 2000m",0.01,IF(E18="&lt; 1000 mm/yr",0.04,IF(E18="&gt; 1600 mm/yr", 0.01,IF(E18="1000-1600 mm/yr",0.01,0))))),0),"")</f>
        <v>0.01</v>
      </c>
    </row>
    <row r="19" spans="2:18" x14ac:dyDescent="0.25">
      <c r="B19" s="384"/>
      <c r="C19" s="417"/>
      <c r="F19" s="352" t="e">
        <f>IF(OR(Accuracy!$E$11="Yes",Accuracy!$E$13="Yes"),IF(#REF!&lt;&gt;"",$Q$15,""),"")</f>
        <v>#REF!</v>
      </c>
      <c r="G19" s="353" t="e">
        <f>IF(#REF!&lt;&gt;"",IF(Accuracy!$E$11="Yes",IF(F19="Temperate/Boreal",0.08,IF(#REF!="&gt; 2000m",0.07,IF(#REF!="&lt; 1000 mm/yr",0.02,IF(#REF!="&gt; 1600 mm/yr", 0.06,IF(#REF!="1000-1600 mm/yr",0.01,0))))),0),"")</f>
        <v>#REF!</v>
      </c>
      <c r="H19" s="354" t="e">
        <f>IF(#REF!&lt;&gt;"",IF(Accuracy!$E$13="Yes",IF(F19="Temperate/Boreal",0.04,IF(#REF!="&gt; 2000m",0.01,IF(#REF!="&lt; 1000 mm/yr",0.04,IF(#REF!="&gt; 1600 mm/yr", 0.01,IF(#REF!="1000-1600 mm/yr",0.01,0))))),0),"")</f>
        <v>#REF!</v>
      </c>
    </row>
    <row r="20" spans="2:18" x14ac:dyDescent="0.25">
      <c r="F20" s="352" t="str">
        <f>IF(OR(Accuracy!$E$11="Yes",Accuracy!$E$13="Yes"),IF(B19&lt;&gt;"",$Q$15,""),"")</f>
        <v/>
      </c>
      <c r="G20" s="353" t="str">
        <f>IF(B19&lt;&gt;"",IF(Accuracy!$E$11="Yes",IF(F20="Temperate/Boreal",0.08,IF(#REF!="&gt; 2000m",0.07,IF(#REF!="&lt; 1000 mm/yr",0.02,IF(#REF!="&gt; 1600 mm/yr", 0.06,IF(#REF!="1000-1600 mm/yr",0.01,0))))),0),"")</f>
        <v/>
      </c>
      <c r="H20" s="354" t="str">
        <f>IF(B19&lt;&gt;"",IF(Accuracy!$E$13="Yes",IF(F20="Temperate/Boreal",0.04,IF(#REF!="&gt; 2000m",0.01,IF(#REF!="&lt; 1000 mm/yr",0.04,IF(#REF!="&gt; 1600 mm/yr", 0.01,IF(#REF!="1000-1600 mm/yr",0.01,0))))),0),"")</f>
        <v/>
      </c>
    </row>
  </sheetData>
  <sheetProtection algorithmName="SHA-512" hashValue="1CrKLHGEOOQWKdJD7/iLEwnbhnmF10qhrFFMyZgHw2GOvtfHk99ZIqKOxDVe0iDs8tkOXOnOsVsvKfhxsl1fsA==" saltValue="b7+/Uk62BnqraGkHklPG4Q==" spinCount="100000" sheet="1" objects="1" scenarios="1" formatRows="0" insertRows="0" deleteRows="0"/>
  <conditionalFormatting sqref="B16:E18">
    <cfRule type="expression" dxfId="14" priority="2">
      <formula>$B16&lt;&gt;""</formula>
    </cfRule>
  </conditionalFormatting>
  <dataValidations count="2">
    <dataValidation type="list" allowBlank="1" showInputMessage="1" showErrorMessage="1" sqref="D16:D18" xr:uid="{00000000-0002-0000-0500-000000000000}">
      <formula1>"&lt; 2000m,&gt; 2000m"</formula1>
    </dataValidation>
    <dataValidation type="list" allowBlank="1" showInputMessage="1" showErrorMessage="1" sqref="E16:E18" xr:uid="{00000000-0002-0000-0500-000001000000}">
      <formula1>"&lt; 1000 mm/yr,1000-1600 mm/yr, &gt; 1600 mm/yr"</formula1>
    </dataValidation>
  </dataValidations>
  <pageMargins left="0.7" right="0.7" top="0.75" bottom="0.75" header="0.3" footer="0.3"/>
  <pageSetup paperSize="9"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53" id="{CDECDD36-8D0F-4B84-AFDE-911B4132B0B2}">
            <xm:f>AND($B15&lt;&gt;"",Accuracy!$E$11="No",Accuracy!$E$13="No")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x14:dxf>
          </x14:cfRule>
          <xm:sqref>D15:E18</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dimension ref="B1:AM40"/>
  <sheetViews>
    <sheetView showGridLines="0" zoomScaleNormal="100" workbookViewId="0">
      <pane ySplit="1" topLeftCell="A4" activePane="bottomLeft" state="frozen"/>
      <selection activeCell="E18" sqref="E18"/>
      <selection pane="bottomLeft" activeCell="A4" sqref="A4"/>
    </sheetView>
  </sheetViews>
  <sheetFormatPr defaultColWidth="11.42578125" defaultRowHeight="15" x14ac:dyDescent="0.25"/>
  <cols>
    <col min="1" max="1" width="11.42578125" style="3"/>
    <col min="2" max="2" width="16.28515625" style="52" customWidth="1"/>
    <col min="3" max="3" width="18.42578125" style="52" customWidth="1"/>
    <col min="4" max="4" width="16.28515625" style="425" customWidth="1"/>
    <col min="5" max="5" width="21.140625" style="52" customWidth="1"/>
    <col min="6" max="6" width="26.28515625" style="52" customWidth="1"/>
    <col min="7" max="7" width="13.85546875" style="52" customWidth="1"/>
    <col min="8" max="8" width="14.42578125" style="3" customWidth="1"/>
    <col min="9" max="9" width="17" style="3" customWidth="1"/>
    <col min="10" max="10" width="11.42578125" style="302"/>
    <col min="11" max="11" width="31" style="3" customWidth="1"/>
    <col min="12" max="12" width="11.42578125" style="3"/>
    <col min="13" max="13" width="28.85546875" style="3" customWidth="1"/>
    <col min="14" max="14" width="13.7109375" style="3" customWidth="1"/>
    <col min="15" max="15" width="19.28515625" style="78" hidden="1" customWidth="1"/>
    <col min="16" max="16" width="26" style="78" hidden="1" customWidth="1"/>
    <col min="17" max="19" width="13.42578125" style="78" hidden="1" customWidth="1"/>
    <col min="20" max="21" width="12" style="80" hidden="1" customWidth="1"/>
    <col min="22" max="24" width="12" style="81" hidden="1" customWidth="1"/>
    <col min="25" max="25" width="12" style="82" hidden="1" customWidth="1"/>
    <col min="26" max="26" width="20.28515625" style="82" hidden="1" customWidth="1"/>
    <col min="27" max="27" width="42.42578125" style="82" hidden="1" customWidth="1"/>
    <col min="28" max="28" width="48.42578125" style="82" hidden="1" customWidth="1"/>
    <col min="29" max="29" width="25" style="82" hidden="1" customWidth="1"/>
    <col min="30" max="30" width="40.42578125" style="82" hidden="1" customWidth="1"/>
    <col min="31" max="31" width="57.7109375" style="82" hidden="1" customWidth="1"/>
    <col min="32" max="32" width="13.42578125" style="78" hidden="1" customWidth="1"/>
    <col min="33" max="36" width="11.42578125" style="78" hidden="1" customWidth="1"/>
    <col min="37" max="38" width="11.42578125" style="3" hidden="1" customWidth="1"/>
    <col min="39" max="43" width="11.42578125" style="3" customWidth="1"/>
    <col min="44" max="16384" width="11.42578125" style="3"/>
  </cols>
  <sheetData>
    <row r="1" spans="2:36" s="32" customFormat="1" ht="124.5" customHeight="1" x14ac:dyDescent="0.25">
      <c r="I1" s="101"/>
      <c r="M1" s="101"/>
      <c r="O1" s="101"/>
      <c r="P1" s="101"/>
      <c r="Q1" s="101"/>
      <c r="R1" s="101"/>
      <c r="S1" s="101"/>
      <c r="T1" s="332"/>
      <c r="U1" s="332"/>
      <c r="V1" s="333"/>
      <c r="W1" s="333"/>
      <c r="X1" s="333"/>
      <c r="Y1" s="334"/>
      <c r="Z1" s="334"/>
      <c r="AA1" s="334"/>
      <c r="AB1" s="334"/>
      <c r="AC1" s="334"/>
      <c r="AD1" s="334"/>
      <c r="AE1" s="334"/>
      <c r="AF1" s="101"/>
      <c r="AG1" s="101"/>
      <c r="AH1" s="101"/>
      <c r="AI1" s="101"/>
      <c r="AJ1" s="101"/>
    </row>
    <row r="2" spans="2:36" x14ac:dyDescent="0.25">
      <c r="B2" s="3"/>
      <c r="C2" s="3"/>
      <c r="D2" s="3"/>
      <c r="E2" s="3"/>
      <c r="F2" s="3"/>
      <c r="G2" s="3"/>
      <c r="I2" s="78"/>
      <c r="J2" s="3"/>
      <c r="M2" s="78"/>
    </row>
    <row r="3" spans="2:36" ht="18.75" x14ac:dyDescent="0.3">
      <c r="B3" s="8"/>
      <c r="C3" s="3"/>
      <c r="D3" s="3"/>
      <c r="E3" s="3"/>
      <c r="F3" s="3"/>
      <c r="G3" s="3"/>
      <c r="I3" s="78"/>
      <c r="J3" s="3"/>
      <c r="M3" s="78"/>
    </row>
    <row r="4" spans="2:36" x14ac:dyDescent="0.25">
      <c r="B4" s="179"/>
      <c r="C4" s="3"/>
      <c r="D4" s="3"/>
      <c r="E4" s="3"/>
      <c r="F4" s="3"/>
      <c r="G4" s="3"/>
      <c r="I4" s="78"/>
      <c r="J4" s="3"/>
      <c r="M4" s="78"/>
    </row>
    <row r="5" spans="2:36" x14ac:dyDescent="0.25">
      <c r="B5" s="179"/>
      <c r="C5" s="3"/>
      <c r="D5" s="3"/>
      <c r="E5" s="3"/>
      <c r="F5" s="3"/>
      <c r="G5" s="3"/>
      <c r="I5" s="78"/>
      <c r="J5" s="3"/>
      <c r="M5" s="78"/>
    </row>
    <row r="6" spans="2:36" ht="17.25" customHeight="1" x14ac:dyDescent="0.25">
      <c r="B6" s="15" t="s">
        <v>1422</v>
      </c>
      <c r="C6" s="3"/>
      <c r="D6" s="3"/>
      <c r="E6" s="3"/>
      <c r="F6" s="3"/>
      <c r="G6" s="3"/>
      <c r="I6" s="78"/>
      <c r="J6" s="3"/>
      <c r="M6" s="78"/>
    </row>
    <row r="7" spans="2:36" x14ac:dyDescent="0.25">
      <c r="B7" s="179"/>
      <c r="C7" s="3"/>
      <c r="D7" s="3"/>
      <c r="E7" s="3"/>
      <c r="F7" s="3"/>
      <c r="G7" s="3"/>
      <c r="I7" s="78"/>
      <c r="J7" s="3"/>
      <c r="M7" s="78"/>
    </row>
    <row r="8" spans="2:36" x14ac:dyDescent="0.25">
      <c r="B8" s="179"/>
      <c r="C8" s="3"/>
      <c r="D8" s="3"/>
      <c r="E8" s="3"/>
      <c r="F8" s="3"/>
      <c r="G8" s="3"/>
      <c r="I8" s="78"/>
      <c r="J8" s="3"/>
      <c r="M8" s="78"/>
    </row>
    <row r="9" spans="2:36" x14ac:dyDescent="0.25">
      <c r="B9" s="3"/>
      <c r="C9" s="3"/>
      <c r="D9" s="3"/>
      <c r="E9" s="3"/>
      <c r="F9" s="3"/>
      <c r="G9" s="3"/>
      <c r="I9" s="78"/>
      <c r="J9" s="3"/>
      <c r="M9" s="78"/>
    </row>
    <row r="10" spans="2:36" x14ac:dyDescent="0.25">
      <c r="B10" s="3"/>
      <c r="C10" s="3"/>
      <c r="D10" s="3"/>
      <c r="E10" s="3"/>
      <c r="F10" s="3"/>
      <c r="G10" s="3"/>
      <c r="I10" s="78"/>
      <c r="J10" s="3"/>
      <c r="M10" s="78"/>
    </row>
    <row r="11" spans="2:36" x14ac:dyDescent="0.25">
      <c r="B11" s="3"/>
      <c r="C11" s="3"/>
      <c r="D11" s="3"/>
      <c r="E11" s="3"/>
      <c r="F11" s="3"/>
      <c r="G11" s="3"/>
      <c r="I11" s="78"/>
      <c r="J11" s="3"/>
      <c r="M11" s="78"/>
    </row>
    <row r="12" spans="2:36" x14ac:dyDescent="0.25">
      <c r="B12" s="3"/>
      <c r="C12" s="3"/>
      <c r="D12" s="3"/>
      <c r="E12" s="3"/>
      <c r="F12" s="3"/>
      <c r="G12" s="3"/>
      <c r="I12" s="78"/>
      <c r="J12" s="3"/>
      <c r="M12" s="78"/>
    </row>
    <row r="13" spans="2:36" x14ac:dyDescent="0.25">
      <c r="B13" s="3"/>
      <c r="C13" s="3"/>
      <c r="D13" s="3"/>
      <c r="E13" s="3"/>
      <c r="F13" s="3"/>
      <c r="G13" s="3"/>
      <c r="I13" s="78"/>
      <c r="J13" s="3"/>
      <c r="M13" s="78"/>
    </row>
    <row r="14" spans="2:36" x14ac:dyDescent="0.25">
      <c r="B14" s="3"/>
      <c r="C14" s="3"/>
      <c r="D14" s="3"/>
      <c r="E14" s="3"/>
      <c r="F14" s="3"/>
      <c r="G14" s="3"/>
      <c r="I14" s="78"/>
      <c r="J14" s="3"/>
      <c r="M14" s="78"/>
    </row>
    <row r="15" spans="2:36" ht="21" customHeight="1" x14ac:dyDescent="0.25">
      <c r="B15" s="3"/>
      <c r="C15" s="3"/>
      <c r="D15" s="3"/>
      <c r="E15" s="3"/>
      <c r="F15" s="3"/>
      <c r="G15" s="3"/>
      <c r="I15" s="78"/>
      <c r="J15" s="3"/>
      <c r="M15" s="78"/>
      <c r="AG15" s="79" t="s">
        <v>644</v>
      </c>
      <c r="AH15" s="79"/>
    </row>
    <row r="16" spans="2:36" ht="19.5" thickBot="1" x14ac:dyDescent="0.35">
      <c r="B16" s="8" t="s">
        <v>1428</v>
      </c>
      <c r="C16" s="8"/>
      <c r="D16" s="8"/>
      <c r="E16" s="8"/>
      <c r="F16" s="8"/>
      <c r="G16" s="8"/>
      <c r="I16" s="78"/>
      <c r="J16" s="3"/>
      <c r="M16" s="78"/>
      <c r="AG16" s="341" t="s">
        <v>639</v>
      </c>
      <c r="AH16" s="341" t="s">
        <v>640</v>
      </c>
    </row>
    <row r="17" spans="2:39" ht="46.5" customHeight="1" thickBot="1" x14ac:dyDescent="0.3">
      <c r="B17" s="67" t="s">
        <v>1556</v>
      </c>
      <c r="C17" s="67" t="s">
        <v>1555</v>
      </c>
      <c r="D17" s="3"/>
      <c r="E17" s="3"/>
      <c r="F17" s="3"/>
      <c r="G17" s="3"/>
      <c r="I17" s="78"/>
      <c r="J17" s="3"/>
      <c r="M17" s="78"/>
      <c r="Q17" s="79"/>
      <c r="R17" s="79"/>
      <c r="S17" s="79"/>
      <c r="T17" s="335"/>
      <c r="U17" s="335"/>
      <c r="V17" s="336"/>
      <c r="W17" s="336"/>
      <c r="X17" s="336"/>
      <c r="Y17" s="337"/>
      <c r="Z17" s="337"/>
      <c r="AA17" s="337"/>
      <c r="AB17" s="337"/>
      <c r="AC17" s="337"/>
      <c r="AD17" s="337"/>
      <c r="AE17" s="337"/>
      <c r="AF17" s="79"/>
      <c r="AG17" s="79">
        <f>(C18*AH20)</f>
        <v>8.6579999999999995</v>
      </c>
      <c r="AH17" s="79">
        <f>C19*AH21</f>
        <v>11.24</v>
      </c>
      <c r="AI17" s="79"/>
      <c r="AJ17" s="79"/>
      <c r="AK17" s="86"/>
      <c r="AL17" s="86"/>
      <c r="AM17" s="86"/>
    </row>
    <row r="18" spans="2:39" ht="18" customHeight="1" x14ac:dyDescent="0.3">
      <c r="B18" s="55" t="s">
        <v>639</v>
      </c>
      <c r="C18" s="56">
        <v>3000</v>
      </c>
      <c r="D18" s="97"/>
      <c r="E18" s="16"/>
      <c r="F18" s="3"/>
      <c r="G18" s="3"/>
      <c r="I18" s="78"/>
      <c r="J18" s="3"/>
      <c r="M18" s="78"/>
      <c r="Q18" s="79"/>
      <c r="R18" s="79"/>
      <c r="S18" s="79"/>
      <c r="T18" s="335"/>
      <c r="U18" s="335"/>
      <c r="V18" s="336"/>
      <c r="W18" s="336"/>
      <c r="X18" s="336"/>
      <c r="Y18" s="337"/>
      <c r="Z18" s="337"/>
      <c r="AA18" s="337"/>
      <c r="AB18" s="337"/>
      <c r="AC18" s="337"/>
      <c r="AD18" s="337"/>
      <c r="AE18" s="337"/>
      <c r="AF18" s="79"/>
      <c r="AG18" s="79"/>
      <c r="AH18" s="79"/>
      <c r="AI18" s="79"/>
      <c r="AJ18" s="79"/>
      <c r="AK18" s="86"/>
      <c r="AL18" s="86"/>
      <c r="AM18" s="86"/>
    </row>
    <row r="19" spans="2:39" ht="18" customHeight="1" x14ac:dyDescent="0.35">
      <c r="B19" s="55" t="s">
        <v>640</v>
      </c>
      <c r="C19" s="56">
        <v>4000</v>
      </c>
      <c r="D19" s="97"/>
      <c r="E19" s="16"/>
      <c r="F19" s="3"/>
      <c r="G19" s="3"/>
      <c r="I19" s="78"/>
      <c r="J19" s="3"/>
      <c r="M19" s="78"/>
      <c r="Q19" s="338" t="s">
        <v>662</v>
      </c>
      <c r="R19" s="79"/>
      <c r="S19" s="79"/>
      <c r="T19" s="335"/>
      <c r="U19" s="335"/>
      <c r="V19" s="336"/>
      <c r="W19" s="336"/>
      <c r="X19" s="336"/>
      <c r="Y19" s="337"/>
      <c r="Z19" s="337"/>
      <c r="AA19" s="337"/>
      <c r="AB19" s="337"/>
      <c r="AC19" s="337"/>
      <c r="AD19" s="337"/>
      <c r="AE19" s="337"/>
      <c r="AF19" s="79"/>
      <c r="AG19" s="342"/>
      <c r="AH19" s="342"/>
      <c r="AI19" s="342"/>
      <c r="AJ19" s="79"/>
      <c r="AK19" s="86"/>
      <c r="AL19" s="86"/>
      <c r="AM19" s="86"/>
    </row>
    <row r="20" spans="2:39" ht="18" customHeight="1" x14ac:dyDescent="0.3">
      <c r="D20" s="52"/>
      <c r="E20" s="16"/>
      <c r="F20" s="3"/>
      <c r="G20" s="3"/>
      <c r="I20" s="78"/>
      <c r="J20" s="3"/>
      <c r="M20" s="78"/>
      <c r="Q20" s="79" t="s">
        <v>641</v>
      </c>
      <c r="R20" s="79">
        <v>0.01</v>
      </c>
      <c r="S20" s="79"/>
      <c r="T20" s="335"/>
      <c r="U20" s="335"/>
      <c r="V20" s="336"/>
      <c r="W20" s="336"/>
      <c r="X20" s="336"/>
      <c r="Y20" s="337"/>
      <c r="Z20" s="337"/>
      <c r="AA20" s="337"/>
      <c r="AB20" s="337"/>
      <c r="AC20" s="337"/>
      <c r="AD20" s="337"/>
      <c r="AE20" s="337"/>
      <c r="AF20" s="79"/>
      <c r="AG20" s="79" t="s">
        <v>1490</v>
      </c>
      <c r="AH20" s="79">
        <v>2.8860000000000001E-3</v>
      </c>
      <c r="AI20" s="79" t="s">
        <v>745</v>
      </c>
      <c r="AJ20" s="79"/>
      <c r="AK20" s="86"/>
      <c r="AL20" s="86"/>
      <c r="AM20" s="86"/>
    </row>
    <row r="21" spans="2:39" ht="18" customHeight="1" x14ac:dyDescent="0.3">
      <c r="B21" s="3"/>
      <c r="D21" s="52"/>
      <c r="E21" s="3"/>
      <c r="F21" s="3"/>
      <c r="G21" s="3"/>
      <c r="I21" s="78"/>
      <c r="J21" s="3"/>
      <c r="M21" s="78"/>
      <c r="Q21" s="79" t="s">
        <v>642</v>
      </c>
      <c r="R21" s="79">
        <f>44/28</f>
        <v>1.5714285714285714</v>
      </c>
      <c r="S21" s="79"/>
      <c r="T21" s="339"/>
      <c r="U21" s="339"/>
      <c r="V21" s="336"/>
      <c r="W21" s="336"/>
      <c r="X21" s="336"/>
      <c r="Y21" s="337"/>
      <c r="Z21" s="337"/>
      <c r="AA21" s="337"/>
      <c r="AB21" s="337"/>
      <c r="AC21" s="337"/>
      <c r="AD21" s="337"/>
      <c r="AE21" s="337"/>
      <c r="AF21" s="79"/>
      <c r="AG21" s="79" t="s">
        <v>1491</v>
      </c>
      <c r="AH21" s="336">
        <v>2.81E-3</v>
      </c>
      <c r="AI21" s="79" t="s">
        <v>746</v>
      </c>
      <c r="AJ21" s="79"/>
      <c r="AK21" s="86"/>
      <c r="AL21" s="86"/>
      <c r="AM21" s="86"/>
    </row>
    <row r="22" spans="2:39" ht="17.25" customHeight="1" thickBot="1" x14ac:dyDescent="0.35">
      <c r="B22" s="54" t="s">
        <v>1429</v>
      </c>
      <c r="D22" s="52"/>
      <c r="E22" s="3"/>
      <c r="F22" s="3"/>
      <c r="G22" s="3"/>
      <c r="I22" s="78"/>
      <c r="J22" s="3"/>
      <c r="M22" s="78"/>
      <c r="Q22" s="79" t="s">
        <v>643</v>
      </c>
      <c r="R22" s="79">
        <v>310</v>
      </c>
      <c r="S22" s="79"/>
      <c r="T22" s="335"/>
      <c r="U22" s="335"/>
      <c r="V22" s="336"/>
      <c r="W22" s="336"/>
      <c r="X22" s="336"/>
      <c r="Y22" s="337"/>
      <c r="Z22" s="564" t="s">
        <v>720</v>
      </c>
      <c r="AA22" s="564"/>
      <c r="AB22" s="337"/>
      <c r="AC22" s="564" t="s">
        <v>721</v>
      </c>
      <c r="AD22" s="564"/>
      <c r="AE22" s="337"/>
      <c r="AF22" s="79"/>
      <c r="AI22" s="79"/>
      <c r="AJ22" s="79"/>
      <c r="AK22" s="86"/>
      <c r="AL22" s="86"/>
      <c r="AM22" s="86"/>
    </row>
    <row r="23" spans="2:39" ht="30.75" customHeight="1" thickBot="1" x14ac:dyDescent="0.3">
      <c r="B23" s="565" t="s">
        <v>1510</v>
      </c>
      <c r="C23" s="566"/>
      <c r="D23" s="68" t="s">
        <v>1478</v>
      </c>
      <c r="E23" s="349" t="str">
        <f>IF(D23&lt;&gt;"",IF(D23="Yes","                  Please complete the table below for each type of fertilizer with application rates per stratum","                  Please ignore this part "),"")</f>
        <v xml:space="preserve">                  Please complete the table below for each type of fertilizer with application rates per stratum</v>
      </c>
      <c r="F23" s="3"/>
      <c r="G23" s="3"/>
      <c r="I23" s="78"/>
      <c r="J23" s="3"/>
      <c r="M23" s="78"/>
      <c r="Q23" s="79" t="s">
        <v>700</v>
      </c>
      <c r="R23" s="79">
        <v>0.9</v>
      </c>
      <c r="S23" s="79"/>
      <c r="T23" s="375" t="s">
        <v>0</v>
      </c>
      <c r="U23" s="375" t="s">
        <v>1492</v>
      </c>
      <c r="V23" s="376" t="s">
        <v>697</v>
      </c>
      <c r="W23" s="376" t="s">
        <v>698</v>
      </c>
      <c r="X23" s="376" t="s">
        <v>699</v>
      </c>
      <c r="Y23" s="377" t="s">
        <v>704</v>
      </c>
      <c r="Z23" s="378" t="s">
        <v>702</v>
      </c>
      <c r="AA23" s="378" t="s">
        <v>1436</v>
      </c>
      <c r="AB23" s="378" t="s">
        <v>1437</v>
      </c>
      <c r="AC23" s="378" t="s">
        <v>703</v>
      </c>
      <c r="AD23" s="378" t="s">
        <v>1438</v>
      </c>
      <c r="AE23" s="378" t="s">
        <v>1439</v>
      </c>
      <c r="AF23" s="79" t="s">
        <v>1483</v>
      </c>
      <c r="AI23" s="79"/>
      <c r="AJ23" s="79"/>
      <c r="AK23" s="86"/>
      <c r="AL23" s="86"/>
      <c r="AM23" s="86"/>
    </row>
    <row r="24" spans="2:39" ht="19.5" customHeight="1" x14ac:dyDescent="0.25">
      <c r="D24" s="52"/>
      <c r="E24" s="3"/>
      <c r="F24" s="3"/>
      <c r="G24" s="3"/>
      <c r="I24" s="78"/>
      <c r="J24" s="3"/>
      <c r="M24" s="78"/>
      <c r="P24" s="79"/>
      <c r="Q24" s="79" t="s">
        <v>701</v>
      </c>
      <c r="R24" s="79">
        <v>0.8</v>
      </c>
      <c r="S24" s="79"/>
      <c r="T24" s="371" t="str">
        <f ca="1">IF(INDIRECT("$B"&amp;ROW()+3)&lt;&gt;"",INDIRECT("$B"&amp;ROW()+3),"")</f>
        <v/>
      </c>
      <c r="U24" s="371" t="str">
        <f ca="1">IF(INDIRECT("$B"&amp;ROW()+3)&lt;&gt;"",INDIRECT("$D"&amp;ROW()+3),"")</f>
        <v/>
      </c>
      <c r="V24" s="372" t="str">
        <f ca="1">IF(INDIRECT("$B"&amp;ROW()+3)&lt;&gt;"",INDIRECT("$E"&amp;ROW()+3),"")</f>
        <v/>
      </c>
      <c r="W24" s="373" t="str">
        <f ca="1">IF(INDIRECT("$B"&amp;ROW()+3)&lt;&gt;"",IF(INDIRECT("$G"&amp;ROW()+3)="kg",INDIRECT("$F"&amp;ROW()+3),IF(INDIRECT("$G"&amp;ROW()+3)="pounds",INDIRECT("$F"&amp;ROW()+3)/2.2046,IF(INDIRECT("$G"&amp;ROW()+3)="tons",INDIRECT("$F"&amp;ROW()+3)*1000,""))),"")</f>
        <v/>
      </c>
      <c r="X24" s="373" t="str">
        <f ca="1">IF(INDIRECT("$B"&amp;ROW()+3)&lt;&gt;"",V24*W24,"")</f>
        <v/>
      </c>
      <c r="Y24" s="374">
        <f ca="1">IF(INDIRECT("Strata!C"&amp;ROW()-7)&lt;&gt;"",INDIRECT("Strata!C"&amp;ROW()-7),"")</f>
        <v>200</v>
      </c>
      <c r="Z24" s="426" t="str">
        <f ca="1">IF(T24&lt;&gt;"",IFERROR(SUMIFS(X:X,T:T,T24,U:U,"Inorganic"),0),"")</f>
        <v/>
      </c>
      <c r="AA24" s="427" t="str">
        <f t="shared" ref="AA24" ca="1" si="0">IF(T24&lt;&gt;"",Z24*$R$20*$R$21*$R$22*$R$23/1000,"")</f>
        <v/>
      </c>
      <c r="AB24" s="427" t="str">
        <f ca="1">IF(T24&lt;&gt;"",AA24*Y24,"")</f>
        <v/>
      </c>
      <c r="AC24" s="426" t="str">
        <f ca="1">IF(T24&lt;&gt;"",IFERROR(SUMIFS(X:X,T:T,T24,U:U,"Organic"),0),"")</f>
        <v/>
      </c>
      <c r="AD24" s="427" t="str">
        <f ca="1">IF(T24&lt;&gt;"",AC24*$R$20*$R$21*$R$22*$R$24/1000,"")</f>
        <v/>
      </c>
      <c r="AE24" s="427" t="str">
        <f ca="1">IF(T24&lt;&gt;"",AD24*Y24,"")</f>
        <v/>
      </c>
      <c r="AF24" s="342"/>
      <c r="AI24" s="79"/>
      <c r="AJ24" s="79"/>
      <c r="AK24" s="86"/>
      <c r="AL24" s="86"/>
      <c r="AM24" s="86"/>
    </row>
    <row r="25" spans="2:39" ht="18.75" customHeight="1" thickBot="1" x14ac:dyDescent="0.3">
      <c r="B25" s="444"/>
      <c r="C25" s="3"/>
      <c r="D25" s="3"/>
      <c r="E25" s="3"/>
      <c r="F25" s="3"/>
      <c r="G25" s="3"/>
      <c r="H25" s="17"/>
      <c r="I25" s="78"/>
      <c r="J25" s="3"/>
      <c r="M25" s="78"/>
      <c r="P25" s="79"/>
      <c r="S25" s="79"/>
      <c r="T25" s="371" t="str">
        <f t="shared" ref="T25:T32" ca="1" si="1">IF(INDIRECT("$B"&amp;ROW()+3)&lt;&gt;"",INDIRECT("$B"&amp;ROW()+3),"")</f>
        <v/>
      </c>
      <c r="U25" s="371" t="str">
        <f t="shared" ref="U25:U32" ca="1" si="2">IF(INDIRECT("$B"&amp;ROW()+3)&lt;&gt;"",INDIRECT("$D"&amp;ROW()+3),"")</f>
        <v/>
      </c>
      <c r="V25" s="372" t="str">
        <f t="shared" ref="V25:V32" ca="1" si="3">IF(INDIRECT("$B"&amp;ROW()+3)&lt;&gt;"",INDIRECT("$E"&amp;ROW()+3),"")</f>
        <v/>
      </c>
      <c r="W25" s="373" t="str">
        <f t="shared" ref="W25:W32" ca="1" si="4">IF(INDIRECT("$B"&amp;ROW()+3)&lt;&gt;"",IF(INDIRECT("$G"&amp;ROW()+3)="kg",INDIRECT("$F"&amp;ROW()+3),IF(INDIRECT("$G"&amp;ROW()+3)="pounds",INDIRECT("$F"&amp;ROW()+3)/2.2046,IF(INDIRECT("$G"&amp;ROW()+3)="tons",INDIRECT("$F"&amp;ROW()+3)*1000,""))),"")</f>
        <v/>
      </c>
      <c r="X25" s="373" t="str">
        <f t="shared" ref="X25:X32" ca="1" si="5">IF(INDIRECT("$B"&amp;ROW()+3)&lt;&gt;"",V25*W25,"")</f>
        <v/>
      </c>
      <c r="Y25" s="374">
        <f t="shared" ref="Y25:Y32" ca="1" si="6">IF(INDIRECT("Strata!C"&amp;ROW()-7)&lt;&gt;"",INDIRECT("Strata!C"&amp;ROW()-7),"")</f>
        <v>100</v>
      </c>
      <c r="Z25" s="426" t="str">
        <f t="shared" ref="Z25:Z32" ca="1" si="7">IF(T25&lt;&gt;"",IFERROR(SUMIFS(X:X,T:T,T25,U:U,"Inorganic"),0),"")</f>
        <v/>
      </c>
      <c r="AA25" s="427" t="str">
        <f t="shared" ref="AA25:AA32" ca="1" si="8">IF(T25&lt;&gt;"",Z25*$R$20*$R$21*$R$22*$R$23/1000,"")</f>
        <v/>
      </c>
      <c r="AB25" s="427" t="str">
        <f t="shared" ref="AB25:AB32" ca="1" si="9">IF(T25&lt;&gt;"",AA25*Y25,"")</f>
        <v/>
      </c>
      <c r="AC25" s="426" t="str">
        <f t="shared" ref="AC25:AC32" ca="1" si="10">IF(T25&lt;&gt;"",IFERROR(SUMIFS(X:X,T:T,T25,U:U,"Organic"),0),"")</f>
        <v/>
      </c>
      <c r="AD25" s="427" t="str">
        <f t="shared" ref="AD25:AD32" ca="1" si="11">IF(T25&lt;&gt;"",AC25*$R$20*$R$21*$R$22*$R$24/1000,"")</f>
        <v/>
      </c>
      <c r="AE25" s="427" t="str">
        <f t="shared" ref="AE25:AE32" ca="1" si="12">IF(T25&lt;&gt;"",AD25*Y25,"")</f>
        <v/>
      </c>
      <c r="AF25" s="342"/>
      <c r="AG25" s="342"/>
      <c r="AH25" s="342"/>
      <c r="AI25" s="342"/>
      <c r="AJ25" s="342"/>
      <c r="AK25" s="86"/>
      <c r="AL25" s="86"/>
      <c r="AM25" s="86"/>
    </row>
    <row r="26" spans="2:39" ht="41.25" customHeight="1" thickBot="1" x14ac:dyDescent="0.3">
      <c r="B26" s="70" t="s">
        <v>0</v>
      </c>
      <c r="C26" s="44" t="s">
        <v>1552</v>
      </c>
      <c r="D26" s="44" t="s">
        <v>1553</v>
      </c>
      <c r="E26" s="44" t="s">
        <v>1554</v>
      </c>
      <c r="F26" s="44" t="s">
        <v>1458</v>
      </c>
      <c r="G26" s="70" t="s">
        <v>727</v>
      </c>
      <c r="H26" s="17"/>
      <c r="I26" s="78"/>
      <c r="J26" s="3"/>
      <c r="M26" s="78"/>
      <c r="S26" s="79"/>
      <c r="T26" s="371" t="str">
        <f t="shared" ca="1" si="1"/>
        <v/>
      </c>
      <c r="U26" s="371" t="str">
        <f t="shared" ca="1" si="2"/>
        <v/>
      </c>
      <c r="V26" s="372" t="str">
        <f t="shared" ca="1" si="3"/>
        <v/>
      </c>
      <c r="W26" s="373" t="str">
        <f t="shared" ca="1" si="4"/>
        <v/>
      </c>
      <c r="X26" s="373" t="str">
        <f t="shared" ca="1" si="5"/>
        <v/>
      </c>
      <c r="Y26" s="374" t="str">
        <f t="shared" ca="1" si="6"/>
        <v/>
      </c>
      <c r="Z26" s="426" t="str">
        <f t="shared" ca="1" si="7"/>
        <v/>
      </c>
      <c r="AA26" s="427" t="str">
        <f t="shared" ca="1" si="8"/>
        <v/>
      </c>
      <c r="AB26" s="427" t="str">
        <f t="shared" ca="1" si="9"/>
        <v/>
      </c>
      <c r="AC26" s="426" t="str">
        <f t="shared" ca="1" si="10"/>
        <v/>
      </c>
      <c r="AD26" s="427" t="str">
        <f t="shared" ca="1" si="11"/>
        <v/>
      </c>
      <c r="AE26" s="427" t="str">
        <f t="shared" ca="1" si="12"/>
        <v/>
      </c>
      <c r="AF26" s="342"/>
      <c r="AI26" s="342" t="s">
        <v>747</v>
      </c>
      <c r="AJ26" s="342"/>
      <c r="AK26" s="86"/>
      <c r="AL26" s="86"/>
      <c r="AM26" s="86"/>
    </row>
    <row r="27" spans="2:39" ht="19.5" customHeight="1" x14ac:dyDescent="0.3">
      <c r="B27" s="384"/>
      <c r="C27" s="384"/>
      <c r="D27" s="384"/>
      <c r="E27" s="384"/>
      <c r="F27" s="384"/>
      <c r="G27" s="384"/>
      <c r="H27" s="8"/>
      <c r="I27" s="79"/>
      <c r="J27" s="19"/>
      <c r="K27" s="18"/>
      <c r="M27" s="78"/>
      <c r="S27" s="79"/>
      <c r="T27" s="371" t="str">
        <f t="shared" ca="1" si="1"/>
        <v/>
      </c>
      <c r="U27" s="371" t="str">
        <f t="shared" ca="1" si="2"/>
        <v/>
      </c>
      <c r="V27" s="372" t="str">
        <f t="shared" ca="1" si="3"/>
        <v/>
      </c>
      <c r="W27" s="373" t="str">
        <f t="shared" ca="1" si="4"/>
        <v/>
      </c>
      <c r="X27" s="373" t="str">
        <f t="shared" ca="1" si="5"/>
        <v/>
      </c>
      <c r="Y27" s="374" t="str">
        <f t="shared" ca="1" si="6"/>
        <v/>
      </c>
      <c r="Z27" s="426" t="str">
        <f t="shared" ca="1" si="7"/>
        <v/>
      </c>
      <c r="AA27" s="427" t="str">
        <f t="shared" ca="1" si="8"/>
        <v/>
      </c>
      <c r="AB27" s="427" t="str">
        <f t="shared" ca="1" si="9"/>
        <v/>
      </c>
      <c r="AC27" s="426" t="str">
        <f t="shared" ca="1" si="10"/>
        <v/>
      </c>
      <c r="AD27" s="427" t="str">
        <f t="shared" ca="1" si="11"/>
        <v/>
      </c>
      <c r="AE27" s="427" t="str">
        <f t="shared" ca="1" si="12"/>
        <v/>
      </c>
      <c r="AF27" s="342"/>
      <c r="AI27" s="79"/>
      <c r="AJ27" s="86"/>
      <c r="AK27" s="86"/>
      <c r="AL27" s="86"/>
    </row>
    <row r="28" spans="2:39" x14ac:dyDescent="0.25">
      <c r="B28" s="384"/>
      <c r="C28" s="384"/>
      <c r="D28" s="384"/>
      <c r="E28" s="384"/>
      <c r="F28" s="384"/>
      <c r="G28" s="384"/>
      <c r="H28" s="14"/>
      <c r="I28" s="79"/>
      <c r="J28" s="19"/>
      <c r="K28" s="18"/>
      <c r="M28" s="78"/>
      <c r="S28" s="79"/>
      <c r="T28" s="371" t="str">
        <f t="shared" ca="1" si="1"/>
        <v/>
      </c>
      <c r="U28" s="371" t="str">
        <f t="shared" ca="1" si="2"/>
        <v/>
      </c>
      <c r="V28" s="372" t="str">
        <f t="shared" ca="1" si="3"/>
        <v/>
      </c>
      <c r="W28" s="373" t="str">
        <f t="shared" ca="1" si="4"/>
        <v/>
      </c>
      <c r="X28" s="373" t="str">
        <f t="shared" ca="1" si="5"/>
        <v/>
      </c>
      <c r="Y28" s="374" t="str">
        <f t="shared" ca="1" si="6"/>
        <v/>
      </c>
      <c r="Z28" s="426" t="str">
        <f t="shared" ca="1" si="7"/>
        <v/>
      </c>
      <c r="AA28" s="427" t="str">
        <f t="shared" ca="1" si="8"/>
        <v/>
      </c>
      <c r="AB28" s="427" t="str">
        <f t="shared" ca="1" si="9"/>
        <v/>
      </c>
      <c r="AC28" s="426" t="str">
        <f t="shared" ca="1" si="10"/>
        <v/>
      </c>
      <c r="AD28" s="427" t="str">
        <f t="shared" ca="1" si="11"/>
        <v/>
      </c>
      <c r="AE28" s="427" t="str">
        <f t="shared" ca="1" si="12"/>
        <v/>
      </c>
      <c r="AF28" s="342"/>
      <c r="AI28" s="79"/>
      <c r="AJ28" s="86"/>
      <c r="AK28" s="86"/>
      <c r="AL28" s="86"/>
    </row>
    <row r="29" spans="2:39" x14ac:dyDescent="0.25">
      <c r="B29" s="384"/>
      <c r="C29" s="384"/>
      <c r="D29" s="384"/>
      <c r="E29" s="384"/>
      <c r="F29" s="384"/>
      <c r="G29" s="384"/>
      <c r="I29" s="79"/>
      <c r="J29" s="2"/>
      <c r="K29" s="2"/>
      <c r="L29" s="2"/>
      <c r="M29" s="78"/>
      <c r="Q29" s="79"/>
      <c r="R29" s="79"/>
      <c r="S29" s="79"/>
      <c r="T29" s="371" t="str">
        <f t="shared" ca="1" si="1"/>
        <v/>
      </c>
      <c r="U29" s="371" t="str">
        <f t="shared" ca="1" si="2"/>
        <v/>
      </c>
      <c r="V29" s="372" t="str">
        <f t="shared" ca="1" si="3"/>
        <v/>
      </c>
      <c r="W29" s="373" t="str">
        <f t="shared" ca="1" si="4"/>
        <v/>
      </c>
      <c r="X29" s="373" t="str">
        <f t="shared" ca="1" si="5"/>
        <v/>
      </c>
      <c r="Y29" s="374" t="str">
        <f t="shared" ca="1" si="6"/>
        <v/>
      </c>
      <c r="Z29" s="426" t="str">
        <f t="shared" ca="1" si="7"/>
        <v/>
      </c>
      <c r="AA29" s="427" t="str">
        <f t="shared" ca="1" si="8"/>
        <v/>
      </c>
      <c r="AB29" s="427" t="str">
        <f t="shared" ca="1" si="9"/>
        <v/>
      </c>
      <c r="AC29" s="426" t="str">
        <f t="shared" ca="1" si="10"/>
        <v/>
      </c>
      <c r="AD29" s="427" t="str">
        <f t="shared" ca="1" si="11"/>
        <v/>
      </c>
      <c r="AE29" s="427" t="str">
        <f t="shared" ca="1" si="12"/>
        <v/>
      </c>
      <c r="AF29" s="342"/>
      <c r="AG29" s="342"/>
      <c r="AH29" s="342"/>
      <c r="AI29" s="342"/>
      <c r="AJ29" s="86"/>
      <c r="AK29" s="86"/>
      <c r="AL29" s="86"/>
    </row>
    <row r="30" spans="2:39" x14ac:dyDescent="0.25">
      <c r="B30" s="389"/>
      <c r="C30" s="390"/>
      <c r="D30" s="391"/>
      <c r="E30" s="384"/>
      <c r="F30" s="384"/>
      <c r="G30" s="384"/>
      <c r="T30" s="371" t="str">
        <f t="shared" ca="1" si="1"/>
        <v/>
      </c>
      <c r="U30" s="371" t="str">
        <f t="shared" ca="1" si="2"/>
        <v/>
      </c>
      <c r="V30" s="372" t="str">
        <f t="shared" ca="1" si="3"/>
        <v/>
      </c>
      <c r="W30" s="373" t="str">
        <f t="shared" ca="1" si="4"/>
        <v/>
      </c>
      <c r="X30" s="373" t="str">
        <f t="shared" ca="1" si="5"/>
        <v/>
      </c>
      <c r="Y30" s="374" t="str">
        <f t="shared" ca="1" si="6"/>
        <v/>
      </c>
      <c r="Z30" s="426" t="str">
        <f t="shared" ca="1" si="7"/>
        <v/>
      </c>
      <c r="AA30" s="427" t="str">
        <f t="shared" ca="1" si="8"/>
        <v/>
      </c>
      <c r="AB30" s="427" t="str">
        <f t="shared" ca="1" si="9"/>
        <v/>
      </c>
      <c r="AC30" s="426" t="str">
        <f t="shared" ca="1" si="10"/>
        <v/>
      </c>
      <c r="AD30" s="427" t="str">
        <f t="shared" ca="1" si="11"/>
        <v/>
      </c>
      <c r="AE30" s="427" t="str">
        <f t="shared" ca="1" si="12"/>
        <v/>
      </c>
      <c r="AF30" s="342"/>
    </row>
    <row r="31" spans="2:39" x14ac:dyDescent="0.25">
      <c r="B31" s="389"/>
      <c r="C31" s="390"/>
      <c r="D31" s="391"/>
      <c r="E31" s="384"/>
      <c r="F31" s="384"/>
      <c r="G31" s="384"/>
      <c r="T31" s="371" t="str">
        <f t="shared" ca="1" si="1"/>
        <v/>
      </c>
      <c r="U31" s="371" t="str">
        <f t="shared" ca="1" si="2"/>
        <v/>
      </c>
      <c r="V31" s="372" t="str">
        <f t="shared" ca="1" si="3"/>
        <v/>
      </c>
      <c r="W31" s="373" t="str">
        <f t="shared" ca="1" si="4"/>
        <v/>
      </c>
      <c r="X31" s="373" t="str">
        <f t="shared" ca="1" si="5"/>
        <v/>
      </c>
      <c r="Y31" s="374" t="str">
        <f t="shared" ca="1" si="6"/>
        <v/>
      </c>
      <c r="Z31" s="426" t="str">
        <f t="shared" ca="1" si="7"/>
        <v/>
      </c>
      <c r="AA31" s="427" t="str">
        <f t="shared" ca="1" si="8"/>
        <v/>
      </c>
      <c r="AB31" s="427" t="str">
        <f t="shared" ca="1" si="9"/>
        <v/>
      </c>
      <c r="AC31" s="426" t="str">
        <f t="shared" ca="1" si="10"/>
        <v/>
      </c>
      <c r="AD31" s="427" t="str">
        <f t="shared" ca="1" si="11"/>
        <v/>
      </c>
      <c r="AE31" s="427" t="str">
        <f t="shared" ca="1" si="12"/>
        <v/>
      </c>
      <c r="AF31" s="342"/>
    </row>
    <row r="32" spans="2:39" x14ac:dyDescent="0.25">
      <c r="B32" s="389"/>
      <c r="C32" s="390"/>
      <c r="D32" s="391"/>
      <c r="E32" s="384"/>
      <c r="F32" s="384"/>
      <c r="G32" s="384"/>
      <c r="T32" s="371" t="str">
        <f t="shared" ca="1" si="1"/>
        <v/>
      </c>
      <c r="U32" s="371" t="str">
        <f t="shared" ca="1" si="2"/>
        <v/>
      </c>
      <c r="V32" s="372" t="str">
        <f t="shared" ca="1" si="3"/>
        <v/>
      </c>
      <c r="W32" s="373" t="str">
        <f t="shared" ca="1" si="4"/>
        <v/>
      </c>
      <c r="X32" s="373" t="str">
        <f t="shared" ca="1" si="5"/>
        <v/>
      </c>
      <c r="Y32" s="374" t="str">
        <f t="shared" ca="1" si="6"/>
        <v/>
      </c>
      <c r="Z32" s="426" t="str">
        <f t="shared" ca="1" si="7"/>
        <v/>
      </c>
      <c r="AA32" s="427" t="str">
        <f t="shared" ca="1" si="8"/>
        <v/>
      </c>
      <c r="AB32" s="427" t="str">
        <f t="shared" ca="1" si="9"/>
        <v/>
      </c>
      <c r="AC32" s="426" t="str">
        <f t="shared" ca="1" si="10"/>
        <v/>
      </c>
      <c r="AD32" s="427" t="str">
        <f t="shared" ca="1" si="11"/>
        <v/>
      </c>
      <c r="AE32" s="427" t="str">
        <f t="shared" ca="1" si="12"/>
        <v/>
      </c>
      <c r="AF32" s="342"/>
    </row>
    <row r="33" spans="2:7" x14ac:dyDescent="0.25">
      <c r="B33" s="389"/>
      <c r="C33" s="390"/>
      <c r="D33" s="391"/>
      <c r="E33" s="384"/>
      <c r="F33" s="384"/>
      <c r="G33" s="384"/>
    </row>
    <row r="34" spans="2:7" x14ac:dyDescent="0.25">
      <c r="B34" s="389"/>
      <c r="C34" s="390"/>
      <c r="D34" s="391"/>
      <c r="E34" s="384"/>
      <c r="F34" s="384"/>
      <c r="G34" s="384"/>
    </row>
    <row r="35" spans="2:7" x14ac:dyDescent="0.25">
      <c r="B35" s="389"/>
      <c r="C35" s="390"/>
      <c r="D35" s="391"/>
      <c r="E35" s="384"/>
      <c r="F35" s="384"/>
      <c r="G35" s="384"/>
    </row>
    <row r="36" spans="2:7" x14ac:dyDescent="0.25">
      <c r="B36" s="389"/>
      <c r="C36" s="390"/>
      <c r="D36" s="391"/>
      <c r="E36" s="384"/>
      <c r="F36" s="384"/>
      <c r="G36" s="384"/>
    </row>
    <row r="37" spans="2:7" x14ac:dyDescent="0.25">
      <c r="B37" s="389"/>
      <c r="C37" s="390"/>
      <c r="D37" s="391"/>
      <c r="E37" s="384"/>
      <c r="F37" s="384"/>
      <c r="G37" s="384"/>
    </row>
    <row r="38" spans="2:7" x14ac:dyDescent="0.25">
      <c r="B38" s="389"/>
      <c r="C38" s="390"/>
      <c r="D38" s="391"/>
      <c r="E38" s="384"/>
      <c r="F38" s="384"/>
      <c r="G38" s="384"/>
    </row>
    <row r="39" spans="2:7" x14ac:dyDescent="0.25">
      <c r="B39" s="389"/>
      <c r="C39" s="390"/>
      <c r="D39" s="391"/>
      <c r="E39" s="384"/>
      <c r="F39" s="384"/>
      <c r="G39" s="384"/>
    </row>
    <row r="40" spans="2:7" x14ac:dyDescent="0.25">
      <c r="B40" s="389"/>
      <c r="C40" s="390"/>
      <c r="D40" s="391"/>
      <c r="E40" s="384"/>
      <c r="F40" s="384"/>
      <c r="G40" s="384"/>
    </row>
  </sheetData>
  <sheetProtection algorithmName="SHA-512" hashValue="0WfJvf6wrXOwiKXOH+6uJqHYkzemCqctHVtem+xoUL7TTrdyPJHfITYBHMVlZ0dtNZDC9CplaDmz/jtxJX26VA==" saltValue="SLRgSSr5+DTAjUOpHiLEgQ==" spinCount="100000" sheet="1" objects="1" scenarios="1" formatRows="0" insertRows="0" deleteRows="0"/>
  <mergeCells count="3">
    <mergeCell ref="AC22:AD22"/>
    <mergeCell ref="B23:C23"/>
    <mergeCell ref="Z22:AA22"/>
  </mergeCells>
  <conditionalFormatting sqref="B26:G26">
    <cfRule type="expression" dxfId="12" priority="26">
      <formula>$D$23="No"</formula>
    </cfRule>
  </conditionalFormatting>
  <conditionalFormatting sqref="B27:G40">
    <cfRule type="expression" dxfId="11" priority="1">
      <formula>$B27&lt;&gt;""</formula>
    </cfRule>
  </conditionalFormatting>
  <dataValidations count="4">
    <dataValidation type="list" allowBlank="1" showInputMessage="1" showErrorMessage="1" sqref="D23 D18" xr:uid="{00000000-0002-0000-0600-000000000000}">
      <formula1>"Yes,No"</formula1>
    </dataValidation>
    <dataValidation type="list" allowBlank="1" showInputMessage="1" showErrorMessage="1" sqref="G27:G40" xr:uid="{00000000-0002-0000-0600-000001000000}">
      <formula1>"kg,pounds,tons"</formula1>
    </dataValidation>
    <dataValidation type="list" allowBlank="1" showInputMessage="1" showErrorMessage="1" sqref="D27:D1048576" xr:uid="{00000000-0002-0000-0600-000002000000}">
      <formula1>"Organic,Inorganic"</formula1>
    </dataValidation>
    <dataValidation type="list" allowBlank="1" showInputMessage="1" showErrorMessage="1" sqref="B27:B1048576" xr:uid="{00000000-0002-0000-0600-000003000000}">
      <formula1>Stratum</formula1>
    </dataValidation>
  </dataValidations>
  <pageMargins left="0.7" right="0.7" top="0.75" bottom="0.75" header="0.3" footer="0.3"/>
  <pageSetup orientation="portrait" r:id="rId1"/>
  <drawing r:id="rId2"/>
  <tableParts count="2">
    <tablePart r:id="rId3"/>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600-000004000000}">
          <x14:formula1>
            <xm:f>OFFSET(Strata!$B$15:$B$15,1,,COUNTA(Stratum))</xm:f>
          </x14:formula1>
          <xm:sqref>B27:B446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2"/>
  <dimension ref="B1:AO19"/>
  <sheetViews>
    <sheetView showGridLines="0" zoomScaleNormal="100" workbookViewId="0">
      <pane ySplit="1" topLeftCell="A4" activePane="bottomLeft" state="frozen"/>
      <selection pane="bottomLeft" activeCell="A4" sqref="A4"/>
    </sheetView>
  </sheetViews>
  <sheetFormatPr defaultColWidth="11.42578125" defaultRowHeight="15" x14ac:dyDescent="0.25"/>
  <cols>
    <col min="1" max="1" width="22.28515625" style="3" customWidth="1"/>
    <col min="2" max="2" width="22.140625" style="52" customWidth="1"/>
    <col min="3" max="3" width="30.42578125" style="52" customWidth="1"/>
    <col min="4" max="4" width="45" style="52" customWidth="1"/>
    <col min="5" max="5" width="11.85546875" style="3" hidden="1" customWidth="1"/>
    <col min="6" max="6" width="11.42578125" style="3" hidden="1" customWidth="1"/>
    <col min="7" max="7" width="14.28515625" style="3" hidden="1" customWidth="1"/>
    <col min="8" max="10" width="11.42578125" style="3" hidden="1" customWidth="1"/>
    <col min="11" max="11" width="45.42578125" style="3" hidden="1" customWidth="1"/>
    <col min="12" max="12" width="11.42578125" style="3" hidden="1" customWidth="1"/>
    <col min="13" max="13" width="54.7109375" style="3" hidden="1" customWidth="1"/>
    <col min="14" max="16" width="11.42578125" style="3" hidden="1" customWidth="1"/>
    <col min="17" max="17" width="10.7109375" style="3" hidden="1" customWidth="1"/>
    <col min="18" max="16384" width="11.42578125" style="3"/>
  </cols>
  <sheetData>
    <row r="1" spans="2:41" s="32" customFormat="1" ht="118.5" customHeight="1" x14ac:dyDescent="0.25">
      <c r="S1" s="38"/>
      <c r="T1" s="39"/>
      <c r="U1" s="39"/>
      <c r="V1" s="39"/>
      <c r="W1" s="39"/>
      <c r="X1" s="39"/>
      <c r="Y1" s="39"/>
      <c r="Z1" s="39"/>
      <c r="AA1" s="39"/>
      <c r="AO1" s="40"/>
    </row>
    <row r="2" spans="2:41" ht="12" customHeight="1" x14ac:dyDescent="0.25">
      <c r="B2" s="3"/>
      <c r="C2" s="3"/>
      <c r="D2" s="3"/>
    </row>
    <row r="3" spans="2:41" ht="18.75" x14ac:dyDescent="0.3">
      <c r="B3" s="8" t="s">
        <v>1277</v>
      </c>
      <c r="C3" s="3"/>
      <c r="D3" s="3"/>
    </row>
    <row r="4" spans="2:41" ht="18.75" x14ac:dyDescent="0.3">
      <c r="B4" s="8"/>
      <c r="C4" s="3"/>
      <c r="D4" s="3"/>
    </row>
    <row r="5" spans="2:41" ht="18.75" x14ac:dyDescent="0.3">
      <c r="B5" s="8"/>
      <c r="C5" s="3"/>
      <c r="D5" s="3"/>
    </row>
    <row r="6" spans="2:41" x14ac:dyDescent="0.25">
      <c r="B6" s="3"/>
      <c r="C6" s="3"/>
      <c r="D6" s="3"/>
      <c r="N6" s="78"/>
      <c r="O6" s="78"/>
      <c r="P6" s="78"/>
      <c r="Q6" s="78"/>
      <c r="R6" s="78"/>
      <c r="S6" s="78"/>
      <c r="T6" s="78"/>
    </row>
    <row r="7" spans="2:41" x14ac:dyDescent="0.25">
      <c r="B7" s="3"/>
      <c r="C7" s="3"/>
      <c r="D7" s="3"/>
      <c r="M7" s="10"/>
      <c r="N7" s="78"/>
      <c r="O7" s="78"/>
      <c r="P7" s="78"/>
      <c r="Q7" s="78"/>
      <c r="R7" s="78"/>
      <c r="S7" s="78"/>
      <c r="T7" s="78"/>
      <c r="U7" s="78"/>
      <c r="V7" s="78"/>
      <c r="W7" s="78"/>
      <c r="X7" s="78"/>
    </row>
    <row r="8" spans="2:41" x14ac:dyDescent="0.25">
      <c r="B8" s="3"/>
      <c r="C8" s="3"/>
      <c r="D8" s="3"/>
      <c r="M8" s="10"/>
      <c r="N8" s="78"/>
      <c r="O8" s="78"/>
      <c r="P8" s="78"/>
      <c r="Q8" s="78"/>
      <c r="R8" s="78"/>
      <c r="S8" s="78"/>
      <c r="T8" s="78"/>
      <c r="U8" s="78"/>
      <c r="V8" s="78"/>
      <c r="W8" s="78"/>
      <c r="X8" s="78"/>
    </row>
    <row r="9" spans="2:41" ht="12" customHeight="1" x14ac:dyDescent="0.25">
      <c r="B9" s="3"/>
      <c r="C9" s="3"/>
      <c r="D9" s="3"/>
      <c r="E9" s="78"/>
      <c r="F9" s="78"/>
      <c r="G9" s="78"/>
      <c r="H9" s="78"/>
      <c r="I9" s="78"/>
      <c r="J9" s="78"/>
      <c r="K9" s="78"/>
      <c r="M9" s="10"/>
      <c r="N9" s="379"/>
      <c r="O9" s="379" t="str">
        <f>'General Data'!J17</f>
        <v>Tropical</v>
      </c>
      <c r="P9" s="379"/>
      <c r="Q9" s="379"/>
      <c r="R9" s="78"/>
      <c r="S9" s="78"/>
      <c r="T9" s="78"/>
      <c r="U9" s="78"/>
      <c r="V9" s="78"/>
      <c r="W9" s="78"/>
      <c r="X9" s="78"/>
    </row>
    <row r="10" spans="2:41" ht="17.25" customHeight="1" x14ac:dyDescent="0.3">
      <c r="B10" s="69" t="str">
        <f>IF(Accuracy!E15="Yes","","Please ignore this sheet and continue to Inventory Data")</f>
        <v/>
      </c>
      <c r="C10" s="3"/>
      <c r="D10" s="3"/>
      <c r="E10" s="78"/>
      <c r="F10" s="78"/>
      <c r="G10" s="78"/>
      <c r="H10" s="78"/>
      <c r="I10" s="78"/>
      <c r="J10" s="78"/>
      <c r="K10" s="78"/>
      <c r="M10" s="10"/>
      <c r="N10" s="379"/>
      <c r="O10" s="379" t="s">
        <v>648</v>
      </c>
      <c r="P10" s="379" t="s">
        <v>655</v>
      </c>
      <c r="Q10" s="379" t="s">
        <v>23</v>
      </c>
      <c r="R10" s="78"/>
      <c r="S10" s="78"/>
      <c r="T10" s="78"/>
      <c r="U10" s="78"/>
      <c r="V10" s="78"/>
      <c r="W10" s="78"/>
      <c r="X10" s="78"/>
    </row>
    <row r="11" spans="2:41" ht="17.25" customHeight="1" x14ac:dyDescent="0.3">
      <c r="B11" s="69"/>
      <c r="C11" s="3"/>
      <c r="D11" s="3"/>
      <c r="E11" s="78"/>
      <c r="F11" s="78"/>
      <c r="G11" s="78"/>
      <c r="H11" s="78"/>
      <c r="I11" s="78"/>
      <c r="J11" s="78"/>
      <c r="K11" s="78"/>
      <c r="M11" s="10"/>
      <c r="N11" s="379"/>
      <c r="O11" s="379"/>
      <c r="P11" s="379"/>
      <c r="Q11" s="379"/>
      <c r="R11" s="78"/>
      <c r="S11" s="78"/>
      <c r="T11" s="78"/>
      <c r="U11" s="78"/>
      <c r="V11" s="78"/>
      <c r="W11" s="78"/>
      <c r="X11" s="78"/>
    </row>
    <row r="12" spans="2:41" ht="17.25" customHeight="1" x14ac:dyDescent="0.3">
      <c r="B12" s="69"/>
      <c r="C12" s="3"/>
      <c r="D12" s="3"/>
      <c r="E12" s="78"/>
      <c r="F12" s="78"/>
      <c r="G12" s="78"/>
      <c r="H12" s="78"/>
      <c r="I12" s="78"/>
      <c r="J12" s="78"/>
      <c r="K12" s="78"/>
      <c r="M12" s="10"/>
      <c r="N12" s="379"/>
      <c r="O12" s="379"/>
      <c r="P12" s="379"/>
      <c r="Q12" s="379"/>
      <c r="R12" s="78"/>
      <c r="S12" s="78"/>
      <c r="T12" s="78"/>
      <c r="U12" s="78"/>
      <c r="V12" s="78"/>
      <c r="W12" s="78"/>
      <c r="X12" s="78"/>
    </row>
    <row r="13" spans="2:41" ht="15.75" thickBot="1" x14ac:dyDescent="0.3">
      <c r="B13" s="3"/>
      <c r="C13" s="3"/>
      <c r="D13" s="3"/>
      <c r="E13" s="221"/>
      <c r="F13" s="221"/>
      <c r="G13" s="221"/>
      <c r="H13" s="221"/>
      <c r="I13" s="221"/>
      <c r="J13" s="221"/>
      <c r="K13" s="221"/>
      <c r="M13" s="10"/>
      <c r="N13" s="379" t="s">
        <v>709</v>
      </c>
      <c r="O13" s="379">
        <v>0.36</v>
      </c>
      <c r="P13" s="379">
        <v>0.6</v>
      </c>
      <c r="Q13" s="379">
        <v>0.84</v>
      </c>
      <c r="R13" s="78"/>
      <c r="S13" s="78"/>
      <c r="T13" s="78"/>
      <c r="U13" s="78"/>
      <c r="V13" s="78"/>
      <c r="W13" s="78"/>
      <c r="X13" s="78"/>
    </row>
    <row r="14" spans="2:41" ht="54.75" thickBot="1" x14ac:dyDescent="0.3">
      <c r="B14" s="300" t="s">
        <v>1</v>
      </c>
      <c r="C14" s="301" t="s">
        <v>728</v>
      </c>
      <c r="D14" s="77" t="s">
        <v>1558</v>
      </c>
      <c r="E14" s="355" t="s">
        <v>1496</v>
      </c>
      <c r="F14" s="355" t="s">
        <v>1497</v>
      </c>
      <c r="G14" s="355" t="s">
        <v>713</v>
      </c>
      <c r="H14" s="355" t="s">
        <v>1498</v>
      </c>
      <c r="I14" s="355" t="s">
        <v>714</v>
      </c>
      <c r="J14" s="355" t="s">
        <v>715</v>
      </c>
      <c r="K14" s="355" t="s">
        <v>1499</v>
      </c>
      <c r="L14" s="78"/>
      <c r="M14" s="10"/>
      <c r="N14" s="379" t="s">
        <v>710</v>
      </c>
      <c r="O14" s="379">
        <v>0.6</v>
      </c>
      <c r="P14" s="379">
        <v>0.84</v>
      </c>
      <c r="Q14" s="379">
        <v>0.97</v>
      </c>
      <c r="R14" s="78"/>
      <c r="S14" s="78"/>
      <c r="T14" s="78"/>
      <c r="U14" s="78"/>
      <c r="V14" s="78"/>
      <c r="W14" s="78"/>
      <c r="X14" s="78"/>
    </row>
    <row r="15" spans="2:41" x14ac:dyDescent="0.25">
      <c r="B15" s="57" t="s">
        <v>787</v>
      </c>
      <c r="C15" s="57" t="s">
        <v>709</v>
      </c>
      <c r="D15" s="57">
        <v>2000</v>
      </c>
      <c r="E15" s="356">
        <f>IF(B15&lt;&gt;"",VLOOKUP(B15,species_tbl[],3,FALSE),"")</f>
        <v>0.47</v>
      </c>
      <c r="F15" s="418">
        <f>IF(B15&lt;&gt;"",VLOOKUP(B15,species_tbl[],2,FALSE),"")</f>
        <v>0.69</v>
      </c>
      <c r="G15" s="356">
        <f>IF(B15&lt;&gt;"",VLOOKUP('General Data'!$D$17,'General Data'!AF21:AH246,3,FALSE),"")</f>
        <v>0.24</v>
      </c>
      <c r="H15" s="356">
        <f>IF(B15&lt;&gt;"",D15*E15*F15,"")</f>
        <v>648.59999999999991</v>
      </c>
      <c r="I15" s="356">
        <f>IF(C15="Sawnwood",(H15-G15)*0.2,IF(C15="Wood-based panels",(H15-G15)*0.1,IF(C15="Other industrial round wood",(H15-G15)*0.3,IF(C15="Paper and paper board",(H15-G15)*0.4,IF(C15="Other",(H15-G15),"")))))</f>
        <v>129.672</v>
      </c>
      <c r="J15" s="356">
        <f>IF(B15&lt;&gt;"",((H15-G15)-I15)*INDEX($O$13:$Q$17,MATCH(C15,$N$13:$N$17,0),MATCH($O$9,$O$10:$Q$10,0)),"")</f>
        <v>435.6979199999999</v>
      </c>
      <c r="K15" s="356">
        <f t="shared" ref="K15:K17" si="0">IF(C15&lt;&gt;"",(H15-G15-I15-J15)*44/12,"")</f>
        <v>304.2969599999999</v>
      </c>
      <c r="L15" s="78"/>
      <c r="M15" s="10"/>
      <c r="N15" s="379" t="s">
        <v>711</v>
      </c>
      <c r="O15" s="379">
        <v>0.84</v>
      </c>
      <c r="P15" s="379">
        <v>0.97</v>
      </c>
      <c r="Q15" s="379">
        <v>0.99</v>
      </c>
      <c r="R15" s="78"/>
      <c r="S15" s="78"/>
      <c r="T15" s="78"/>
      <c r="U15" s="78"/>
      <c r="V15" s="78"/>
      <c r="W15" s="78"/>
      <c r="X15" s="78"/>
    </row>
    <row r="16" spans="2:41" x14ac:dyDescent="0.25">
      <c r="B16" s="57" t="s">
        <v>787</v>
      </c>
      <c r="C16" s="57" t="s">
        <v>711</v>
      </c>
      <c r="D16" s="57">
        <v>1000</v>
      </c>
      <c r="E16" s="418">
        <f>IF(B16&lt;&gt;"",VLOOKUP(B16,species_tbl[],3,FALSE),"")</f>
        <v>0.47</v>
      </c>
      <c r="F16" s="418">
        <f>IF(B16&lt;&gt;"",VLOOKUP(B16,species_tbl[],2,FALSE),"")</f>
        <v>0.69</v>
      </c>
      <c r="G16" s="418">
        <f>IF(B16&lt;&gt;"",VLOOKUP('General Data'!$D$17,'General Data'!AF22:AH247,3,FALSE),"")</f>
        <v>0.24</v>
      </c>
      <c r="H16" s="418">
        <f>IF(B16&lt;&gt;"",D16*E16*F16,"")</f>
        <v>324.29999999999995</v>
      </c>
      <c r="I16" s="418">
        <f>IF(C16="Sawnwood",(H16-G16)*0.2,IF(C16="Wood-based panels",(H16-G16)*0.1,IF(C16="Other industrial round wood",(H16-G16)*0.3,IF(C16="Paper and paper board",(H16-G16)*0.4,IF(C16="Other",(H16-G16),"")))))</f>
        <v>97.217999999999975</v>
      </c>
      <c r="J16" s="418">
        <f>IF(B16&lt;&gt;"",((H16-G16)-I16)*INDEX($O$13:$Q$17,MATCH(C16,$N$13:$N$17,0),MATCH($O$9,$O$10:$Q$10,0)),"")</f>
        <v>224.57357999999999</v>
      </c>
      <c r="K16" s="418">
        <f t="shared" si="0"/>
        <v>8.3175399999999708</v>
      </c>
      <c r="L16" s="78"/>
      <c r="M16" s="10"/>
      <c r="N16" s="379" t="s">
        <v>712</v>
      </c>
      <c r="O16" s="379">
        <v>0.36</v>
      </c>
      <c r="P16" s="379">
        <v>0.6</v>
      </c>
      <c r="Q16" s="379">
        <v>0.99</v>
      </c>
      <c r="R16" s="78"/>
      <c r="S16" s="78"/>
      <c r="T16" s="78"/>
      <c r="U16" s="78"/>
      <c r="V16" s="78"/>
      <c r="W16" s="78"/>
      <c r="X16" s="78"/>
    </row>
    <row r="17" spans="2:24" x14ac:dyDescent="0.25">
      <c r="B17" s="57" t="s">
        <v>787</v>
      </c>
      <c r="C17" s="57" t="s">
        <v>712</v>
      </c>
      <c r="D17" s="57">
        <v>1000</v>
      </c>
      <c r="E17" s="418">
        <f>IF(B17&lt;&gt;"",VLOOKUP(B17,species_tbl[],3,FALSE),"")</f>
        <v>0.47</v>
      </c>
      <c r="F17" s="418">
        <f>IF(B17&lt;&gt;"",VLOOKUP(B17,species_tbl[],2,FALSE),"")</f>
        <v>0.69</v>
      </c>
      <c r="G17" s="418">
        <f>IF(B17&lt;&gt;"",VLOOKUP('General Data'!$D$17,'General Data'!AF23:AH248,3,FALSE),"")</f>
        <v>0.24</v>
      </c>
      <c r="H17" s="418">
        <f>IF(B17&lt;&gt;"",D17*E17*F17,"")</f>
        <v>324.29999999999995</v>
      </c>
      <c r="I17" s="418">
        <f>IF(C17="Sawnwood",(H17-G17)*0.2,IF(C17="Wood-based panels",(H17-G17)*0.1,IF(C17="Other industrial round wood",(H17-G17)*0.3,IF(C17="Paper and paper board",(H17-G17)*0.4,IF(C17="Other",(H17-G17),"")))))</f>
        <v>129.624</v>
      </c>
      <c r="J17" s="418">
        <f>IF(B17&lt;&gt;"",((H17-G17)-I17)*INDEX($O$13:$Q$17,MATCH(C17,$N$13:$N$17,0),MATCH($O$9,$O$10:$Q$10,0)),"")</f>
        <v>192.49163999999996</v>
      </c>
      <c r="K17" s="418">
        <f t="shared" si="0"/>
        <v>7.1293199999999599</v>
      </c>
      <c r="L17" s="78"/>
      <c r="M17" s="10"/>
      <c r="N17" s="379" t="s">
        <v>716</v>
      </c>
      <c r="O17" s="379">
        <v>1</v>
      </c>
      <c r="P17" s="379">
        <v>1</v>
      </c>
      <c r="Q17" s="379">
        <v>1</v>
      </c>
      <c r="R17" s="78"/>
      <c r="S17" s="78"/>
      <c r="T17" s="78"/>
      <c r="U17" s="78"/>
      <c r="V17" s="78"/>
      <c r="W17" s="78"/>
      <c r="X17" s="78"/>
    </row>
    <row r="18" spans="2:24" x14ac:dyDescent="0.25">
      <c r="B18" s="57" t="s">
        <v>787</v>
      </c>
      <c r="C18" s="57" t="s">
        <v>716</v>
      </c>
      <c r="D18" s="57">
        <v>2500</v>
      </c>
      <c r="E18" s="418">
        <f>IF(B18&lt;&gt;"",VLOOKUP(B18,species_tbl[],3,FALSE),"")</f>
        <v>0.47</v>
      </c>
      <c r="F18" s="418">
        <f>IF(B18&lt;&gt;"",VLOOKUP(B18,species_tbl[],2,FALSE),"")</f>
        <v>0.69</v>
      </c>
      <c r="G18" s="418">
        <f>IF(B18&lt;&gt;"",VLOOKUP('General Data'!$D$17,'General Data'!AF24:AH249,3,FALSE),"")</f>
        <v>0.24</v>
      </c>
      <c r="H18" s="418">
        <f>IF(B18&lt;&gt;"",D18*E18*F18,"")</f>
        <v>810.74999999999989</v>
      </c>
      <c r="I18" s="418">
        <f>IF(C18="Sawnwood",(H18-G18)*0.2,IF(C18="Wood-based panels",(H18-G18)*0.1,IF(C18="Other industrial round wood",(H18-G18)*0.3,IF(C18="Paper and paper board",(H18-G18)*0.4,IF(C18="Other",(H18-G18),"")))))</f>
        <v>810.50999999999988</v>
      </c>
      <c r="J18" s="418">
        <f>IF(B18&lt;&gt;"",((H18-G18)-I18)*INDEX($O$13:$Q$17,MATCH(C18,$N$13:$N$17,0),MATCH($O$9,$O$10:$Q$10,0)),"")</f>
        <v>0</v>
      </c>
      <c r="K18" s="436">
        <f>IF(C18&lt;&gt;"",(H18-G18-I18-J18)*44/12,"")</f>
        <v>0</v>
      </c>
      <c r="L18" s="78"/>
      <c r="M18" s="10"/>
      <c r="N18" s="78"/>
      <c r="O18" s="78"/>
      <c r="P18" s="78"/>
      <c r="Q18" s="78"/>
      <c r="R18" s="78"/>
      <c r="S18" s="78"/>
      <c r="T18" s="78"/>
      <c r="U18" s="78"/>
      <c r="V18" s="78"/>
      <c r="W18" s="78"/>
      <c r="X18" s="78"/>
    </row>
    <row r="19" spans="2:24" x14ac:dyDescent="0.25">
      <c r="L19" s="78"/>
      <c r="M19" s="10"/>
      <c r="N19" s="78"/>
      <c r="O19" s="78"/>
      <c r="P19" s="78"/>
      <c r="Q19" s="78"/>
      <c r="R19" s="78"/>
      <c r="S19" s="78"/>
      <c r="T19" s="78"/>
      <c r="U19" s="78"/>
      <c r="V19" s="78"/>
      <c r="W19" s="78"/>
      <c r="X19" s="78"/>
    </row>
  </sheetData>
  <sheetProtection algorithmName="SHA-512" hashValue="p5QNX7GzjTmf2yT9xumAPnw7de1zN2zOFGPsWgvH/wJDfmW+vKBsVE3c1bxqOV7kHY6Vd5Fb1wU9Fee2Jow+6w==" saltValue="xC9TcebAY/Y0389VcZKeaA==" spinCount="100000" sheet="1" objects="1" scenarios="1" insertRows="0" deleteRows="0"/>
  <conditionalFormatting sqref="B15:D18">
    <cfRule type="expression" dxfId="10" priority="13">
      <formula>$B15&lt;&gt;""</formula>
    </cfRule>
  </conditionalFormatting>
  <dataValidations count="2">
    <dataValidation type="list" allowBlank="1" showInputMessage="1" showErrorMessage="1" sqref="C15:C18" xr:uid="{00000000-0002-0000-0700-000000000000}">
      <formula1>$N$13:$N$17</formula1>
    </dataValidation>
    <dataValidation type="list" allowBlank="1" showInputMessage="1" showErrorMessage="1" sqref="B15:B1048576" xr:uid="{00000000-0002-0000-0700-000001000000}">
      <formula1>Species</formula1>
    </dataValidation>
  </dataValidations>
  <pageMargins left="0.7" right="0.7" top="0.78740157499999996" bottom="0.78740157499999996" header="0.3" footer="0.3"/>
  <pageSetup paperSize="9" orientation="portrait"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expression" priority="56" id="{CD7E4E6A-6CA8-4D4F-A1FE-C1C411D85C2A}">
            <xm:f>Accuracy!$E$15="No"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x14:dxf>
          </x14:cfRule>
          <xm:sqref>B14:D14</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00000000-0002-0000-0700-000002000000}">
          <x14:formula1>
            <xm:f>OFFSET(Species!$B$17,1,,COUNTA(Species))</xm:f>
          </x14:formula1>
          <xm:sqref>B15:B511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5"/>
  <dimension ref="B1:AZ23"/>
  <sheetViews>
    <sheetView showGridLines="0" zoomScaleNormal="100" workbookViewId="0">
      <pane ySplit="1" topLeftCell="A10" activePane="bottomLeft" state="frozen"/>
      <selection activeCell="K20" sqref="K20"/>
      <selection pane="bottomLeft" activeCell="A4" sqref="A4"/>
    </sheetView>
  </sheetViews>
  <sheetFormatPr defaultColWidth="11.42578125" defaultRowHeight="15" customHeight="1" x14ac:dyDescent="0.25"/>
  <cols>
    <col min="1" max="1" width="5.42578125" style="53" customWidth="1"/>
    <col min="2" max="2" width="8" style="53" customWidth="1"/>
    <col min="3" max="3" width="12" style="52" customWidth="1"/>
    <col min="4" max="4" width="15.140625" style="52" customWidth="1"/>
    <col min="5" max="5" width="15.42578125" style="52" customWidth="1"/>
    <col min="6" max="6" width="26.85546875" style="52" customWidth="1"/>
    <col min="7" max="7" width="11" style="52" customWidth="1"/>
    <col min="8" max="8" width="24.42578125" style="57" customWidth="1"/>
    <col min="9" max="9" width="11" style="53" hidden="1" customWidth="1"/>
    <col min="10" max="10" width="17.85546875" style="53" hidden="1" customWidth="1"/>
    <col min="11" max="11" width="11.85546875" style="312" hidden="1" customWidth="1"/>
    <col min="12" max="13" width="11" style="312" hidden="1" customWidth="1"/>
    <col min="14" max="14" width="11" style="99" hidden="1" customWidth="1"/>
    <col min="15" max="15" width="8.28515625" style="99" hidden="1" customWidth="1"/>
    <col min="16" max="16" width="7.140625" style="99" hidden="1" customWidth="1"/>
    <col min="17" max="17" width="8.85546875" style="99" hidden="1" customWidth="1"/>
    <col min="18" max="18" width="6.140625" style="99" hidden="1" customWidth="1"/>
    <col min="19" max="19" width="7.42578125" style="99" hidden="1" customWidth="1"/>
    <col min="20" max="20" width="11.7109375" style="99" hidden="1" customWidth="1"/>
    <col min="21" max="21" width="7.7109375" style="99" hidden="1" customWidth="1"/>
    <col min="22" max="22" width="5" style="99" hidden="1" customWidth="1"/>
    <col min="23" max="23" width="11.85546875" style="99" hidden="1" customWidth="1"/>
    <col min="24" max="24" width="4.42578125" style="99" hidden="1" customWidth="1"/>
    <col min="25" max="25" width="9.42578125" style="99" hidden="1" customWidth="1"/>
    <col min="26" max="26" width="16.42578125" style="99" hidden="1" customWidth="1"/>
    <col min="27" max="27" width="15.85546875" style="99" hidden="1" customWidth="1"/>
    <col min="28" max="28" width="15.42578125" style="99" hidden="1" customWidth="1"/>
    <col min="29" max="29" width="11.140625" style="99" hidden="1" customWidth="1"/>
    <col min="30" max="30" width="17.7109375" style="99" hidden="1" customWidth="1"/>
    <col min="31" max="31" width="14.7109375" style="99" hidden="1" customWidth="1"/>
    <col min="32" max="32" width="5" style="381" hidden="1" customWidth="1"/>
    <col min="33" max="33" width="8.28515625" style="381" customWidth="1"/>
    <col min="34" max="34" width="7.28515625" style="53" customWidth="1"/>
    <col min="35" max="35" width="11.85546875" style="53" customWidth="1"/>
    <col min="36" max="36" width="8.140625" style="53" hidden="1" customWidth="1"/>
    <col min="37" max="37" width="1.7109375" style="53" hidden="1" customWidth="1"/>
    <col min="38" max="38" width="2.28515625" style="53" hidden="1" customWidth="1"/>
    <col min="39" max="39" width="3" style="53" hidden="1" customWidth="1"/>
    <col min="40" max="40" width="5.7109375" style="53" hidden="1" customWidth="1"/>
    <col min="41" max="16384" width="11.42578125" style="53"/>
  </cols>
  <sheetData>
    <row r="1" spans="2:40" s="51" customFormat="1" ht="120" customHeight="1" x14ac:dyDescent="0.25">
      <c r="H1" s="217"/>
      <c r="N1" s="316"/>
      <c r="O1" s="316"/>
      <c r="P1" s="316"/>
      <c r="Q1" s="317"/>
      <c r="R1" s="317"/>
      <c r="S1" s="317"/>
      <c r="T1" s="317"/>
      <c r="U1" s="317"/>
      <c r="V1" s="317"/>
      <c r="W1" s="317"/>
      <c r="X1" s="317"/>
      <c r="Y1" s="317"/>
      <c r="Z1" s="317"/>
      <c r="AA1" s="317"/>
      <c r="AB1" s="317"/>
      <c r="AC1" s="317"/>
      <c r="AD1" s="317"/>
      <c r="AE1" s="316"/>
    </row>
    <row r="2" spans="2:40" s="52" customFormat="1" ht="6" hidden="1" customHeight="1" x14ac:dyDescent="0.25">
      <c r="H2" s="57"/>
      <c r="N2" s="97"/>
      <c r="O2" s="97"/>
      <c r="P2" s="97"/>
      <c r="Q2" s="99"/>
      <c r="R2" s="99"/>
      <c r="S2" s="99"/>
      <c r="T2" s="99"/>
      <c r="U2" s="99"/>
      <c r="V2" s="99"/>
      <c r="W2" s="99"/>
      <c r="X2" s="99"/>
      <c r="Y2" s="99"/>
      <c r="Z2" s="99"/>
      <c r="AA2" s="99"/>
      <c r="AB2" s="99"/>
      <c r="AC2" s="99"/>
      <c r="AD2" s="99"/>
      <c r="AE2" s="97"/>
    </row>
    <row r="3" spans="2:40" s="52" customFormat="1" ht="6" hidden="1" customHeight="1" x14ac:dyDescent="0.25">
      <c r="H3" s="57"/>
      <c r="N3" s="97"/>
      <c r="O3" s="97"/>
      <c r="P3" s="97"/>
      <c r="Q3" s="99"/>
      <c r="R3" s="99"/>
      <c r="S3" s="99"/>
      <c r="T3" s="99"/>
      <c r="U3" s="99"/>
      <c r="V3" s="99"/>
      <c r="W3" s="99"/>
      <c r="X3" s="99"/>
      <c r="Y3" s="99"/>
      <c r="Z3" s="99"/>
      <c r="AA3" s="99"/>
      <c r="AB3" s="99"/>
      <c r="AC3" s="99"/>
      <c r="AD3" s="99"/>
      <c r="AE3" s="97"/>
    </row>
    <row r="4" spans="2:40" s="52" customFormat="1" ht="6" hidden="1" customHeight="1" x14ac:dyDescent="0.25">
      <c r="H4" s="57"/>
      <c r="N4" s="97"/>
      <c r="O4" s="97"/>
      <c r="P4" s="97"/>
      <c r="Q4" s="99"/>
      <c r="R4" s="99"/>
      <c r="S4" s="99"/>
      <c r="T4" s="99"/>
      <c r="U4" s="99"/>
      <c r="V4" s="99"/>
      <c r="W4" s="99"/>
      <c r="X4" s="99"/>
      <c r="Y4" s="99"/>
      <c r="Z4" s="99"/>
      <c r="AA4" s="99"/>
      <c r="AB4" s="99"/>
      <c r="AC4" s="99"/>
      <c r="AD4" s="99"/>
      <c r="AE4" s="97"/>
    </row>
    <row r="5" spans="2:40" s="52" customFormat="1" ht="6" hidden="1" customHeight="1" x14ac:dyDescent="0.25">
      <c r="H5" s="57"/>
      <c r="N5" s="97"/>
      <c r="O5" s="97"/>
      <c r="P5" s="97"/>
      <c r="Q5" s="99"/>
      <c r="R5" s="99"/>
      <c r="S5" s="99"/>
      <c r="T5" s="99"/>
      <c r="U5" s="99"/>
      <c r="V5" s="99"/>
      <c r="W5" s="99"/>
      <c r="X5" s="99"/>
      <c r="Y5" s="99"/>
      <c r="Z5" s="99"/>
      <c r="AA5" s="99"/>
      <c r="AB5" s="99"/>
      <c r="AC5" s="99"/>
      <c r="AD5" s="99"/>
      <c r="AE5" s="97"/>
    </row>
    <row r="6" spans="2:40" ht="15" customHeight="1" x14ac:dyDescent="0.25">
      <c r="C6" s="53"/>
      <c r="D6" s="53"/>
      <c r="E6" s="53"/>
      <c r="F6" s="53"/>
      <c r="G6" s="53"/>
      <c r="H6" s="304"/>
      <c r="K6" s="53"/>
      <c r="L6" s="53"/>
      <c r="M6" s="53"/>
      <c r="AF6" s="53"/>
      <c r="AG6" s="53"/>
    </row>
    <row r="7" spans="2:40" ht="15" customHeight="1" x14ac:dyDescent="0.3">
      <c r="C7" s="303" t="s">
        <v>1579</v>
      </c>
      <c r="D7" s="53"/>
      <c r="E7" s="53"/>
      <c r="F7" s="53"/>
      <c r="G7" s="53"/>
      <c r="H7" s="304"/>
      <c r="K7" s="53"/>
      <c r="L7" s="53"/>
      <c r="M7" s="53"/>
      <c r="AF7" s="53"/>
      <c r="AG7" s="53"/>
    </row>
    <row r="8" spans="2:40" ht="15" customHeight="1" x14ac:dyDescent="0.25">
      <c r="C8" s="53"/>
      <c r="D8" s="53"/>
      <c r="E8" s="53"/>
      <c r="F8" s="53"/>
      <c r="G8" s="53"/>
      <c r="H8" s="304"/>
      <c r="K8" s="53"/>
      <c r="L8" s="53"/>
      <c r="M8" s="53"/>
      <c r="AF8" s="53"/>
      <c r="AG8" s="53"/>
    </row>
    <row r="9" spans="2:40" ht="15" customHeight="1" x14ac:dyDescent="0.25">
      <c r="C9" s="53"/>
      <c r="D9" s="53"/>
      <c r="E9" s="53"/>
      <c r="F9" s="53"/>
      <c r="G9" s="53"/>
      <c r="H9" s="304"/>
      <c r="K9" s="53"/>
      <c r="L9" s="53"/>
      <c r="M9" s="53"/>
      <c r="AF9" s="53"/>
      <c r="AG9" s="53"/>
    </row>
    <row r="10" spans="2:40" ht="15" customHeight="1" x14ac:dyDescent="0.25">
      <c r="C10" s="53"/>
      <c r="D10" s="53"/>
      <c r="E10" s="53"/>
      <c r="F10" s="53"/>
      <c r="G10" s="53"/>
      <c r="H10" s="304"/>
      <c r="K10" s="53"/>
      <c r="L10" s="53"/>
      <c r="M10" s="53"/>
      <c r="AF10" s="53"/>
      <c r="AG10" s="53"/>
    </row>
    <row r="11" spans="2:40" ht="15" customHeight="1" x14ac:dyDescent="0.25">
      <c r="C11" s="53"/>
      <c r="D11" s="53"/>
      <c r="E11" s="53"/>
      <c r="F11" s="53"/>
      <c r="G11" s="53"/>
      <c r="H11" s="304"/>
      <c r="K11" s="53"/>
      <c r="L11" s="53"/>
      <c r="M11" s="53"/>
      <c r="AF11" s="53"/>
      <c r="AG11" s="53"/>
    </row>
    <row r="12" spans="2:40" ht="15" customHeight="1" x14ac:dyDescent="0.25">
      <c r="C12" s="53"/>
      <c r="D12" s="53"/>
      <c r="E12" s="53"/>
      <c r="F12" s="53"/>
      <c r="G12" s="53"/>
      <c r="H12" s="304"/>
      <c r="K12" s="53"/>
      <c r="L12" s="53"/>
      <c r="M12" s="53"/>
      <c r="AF12" s="53"/>
      <c r="AG12" s="53"/>
    </row>
    <row r="13" spans="2:40" ht="15" customHeight="1" x14ac:dyDescent="0.25">
      <c r="C13" s="53"/>
      <c r="D13" s="53"/>
      <c r="E13" s="53"/>
      <c r="F13" s="53"/>
      <c r="G13" s="53"/>
      <c r="H13" s="351"/>
      <c r="K13" s="53"/>
      <c r="L13" s="53"/>
      <c r="M13" s="53"/>
      <c r="AF13" s="53"/>
      <c r="AG13" s="53"/>
      <c r="AL13" s="6"/>
    </row>
    <row r="14" spans="2:40" s="381" customFormat="1" ht="15" customHeight="1" x14ac:dyDescent="0.25">
      <c r="H14" s="351"/>
      <c r="N14" s="99"/>
      <c r="O14" s="99"/>
      <c r="P14" s="99"/>
      <c r="Q14" s="99"/>
      <c r="R14" s="99"/>
      <c r="S14" s="99"/>
      <c r="T14" s="99"/>
      <c r="U14" s="99"/>
      <c r="V14" s="99"/>
      <c r="W14" s="99"/>
      <c r="X14" s="99"/>
      <c r="Y14" s="99"/>
      <c r="Z14" s="99"/>
      <c r="AA14" s="99"/>
      <c r="AB14" s="99"/>
      <c r="AC14" s="99"/>
      <c r="AD14" s="99"/>
      <c r="AE14" s="99"/>
      <c r="AL14" s="6"/>
    </row>
    <row r="15" spans="2:40" s="381" customFormat="1" ht="15" customHeight="1" x14ac:dyDescent="0.25">
      <c r="H15" s="351"/>
      <c r="N15" s="99"/>
      <c r="O15" s="99"/>
      <c r="P15" s="99"/>
      <c r="Q15" s="99"/>
      <c r="R15" s="99"/>
      <c r="S15" s="99"/>
      <c r="T15" s="99"/>
      <c r="U15" s="99"/>
      <c r="V15" s="99"/>
      <c r="W15" s="99"/>
      <c r="X15" s="99"/>
      <c r="Y15" s="99"/>
      <c r="Z15" s="99"/>
      <c r="AA15" s="99"/>
      <c r="AB15" s="99"/>
      <c r="AC15" s="99"/>
      <c r="AD15" s="99"/>
      <c r="AE15" s="99"/>
      <c r="AL15" s="6"/>
    </row>
    <row r="16" spans="2:40" ht="15.75" thickBot="1" x14ac:dyDescent="0.3">
      <c r="B16" s="6"/>
      <c r="C16" s="53"/>
      <c r="D16" s="53"/>
      <c r="E16" s="53"/>
      <c r="F16" s="53"/>
      <c r="G16" s="53"/>
      <c r="H16" s="304"/>
      <c r="K16" s="53"/>
      <c r="L16" s="53"/>
      <c r="M16" s="53"/>
      <c r="AF16" s="99"/>
      <c r="AG16" s="99"/>
      <c r="AH16" s="99"/>
      <c r="AI16" s="99"/>
      <c r="AJ16" s="99"/>
      <c r="AK16" s="99"/>
      <c r="AL16" s="6"/>
      <c r="AM16" s="99"/>
      <c r="AN16" s="99"/>
    </row>
    <row r="17" spans="2:52" ht="39" customHeight="1" thickBot="1" x14ac:dyDescent="0.4">
      <c r="B17" s="89"/>
      <c r="C17" s="568" t="s">
        <v>1559</v>
      </c>
      <c r="D17" s="569"/>
      <c r="E17" s="569"/>
      <c r="F17" s="570"/>
      <c r="G17" s="305"/>
      <c r="H17" s="414" t="s">
        <v>1279</v>
      </c>
      <c r="I17" s="401"/>
      <c r="J17" s="402"/>
      <c r="K17" s="567" t="s">
        <v>748</v>
      </c>
      <c r="L17" s="567"/>
      <c r="M17" s="567"/>
      <c r="Z17" s="100"/>
      <c r="AE17" s="449" t="s">
        <v>1278</v>
      </c>
      <c r="AF17" s="450" t="s">
        <v>15</v>
      </c>
      <c r="AG17" s="99"/>
      <c r="AH17" s="99"/>
      <c r="AI17" s="99"/>
      <c r="AJ17" s="99"/>
      <c r="AK17" s="99"/>
      <c r="AL17" s="289">
        <f>ROWS(inventory_data_tbl[])</f>
        <v>3</v>
      </c>
      <c r="AM17" s="289">
        <f>COUNTA(D20:D22)</f>
        <v>3</v>
      </c>
      <c r="AN17" s="99"/>
      <c r="AO17" s="99"/>
      <c r="AP17" s="99"/>
      <c r="AQ17" s="99"/>
      <c r="AR17" s="99"/>
      <c r="AS17" s="99"/>
      <c r="AT17" s="99"/>
      <c r="AZ17" s="306"/>
    </row>
    <row r="18" spans="2:52" ht="15.75" customHeight="1" thickBot="1" x14ac:dyDescent="0.3">
      <c r="B18" s="89"/>
      <c r="C18" s="53"/>
      <c r="D18" s="53"/>
      <c r="E18" s="53"/>
      <c r="F18" s="53"/>
      <c r="G18" s="53"/>
      <c r="H18" s="415"/>
      <c r="I18" s="99"/>
      <c r="J18" s="99"/>
      <c r="K18" s="403"/>
      <c r="L18" s="403"/>
      <c r="M18" s="403"/>
      <c r="R18" s="307"/>
      <c r="S18" s="98"/>
      <c r="T18" s="98"/>
      <c r="U18" s="98"/>
      <c r="V18" s="98"/>
      <c r="W18" s="98"/>
      <c r="X18" s="98"/>
      <c r="Y18" s="98"/>
      <c r="Z18" s="98"/>
      <c r="AF18" s="451">
        <v>2015</v>
      </c>
      <c r="AG18" s="53"/>
    </row>
    <row r="19" spans="2:52" ht="47.25" customHeight="1" thickBot="1" x14ac:dyDescent="0.3">
      <c r="B19" s="308" t="s">
        <v>1489</v>
      </c>
      <c r="C19" s="309" t="s">
        <v>15</v>
      </c>
      <c r="D19" s="310" t="s">
        <v>0</v>
      </c>
      <c r="E19" s="310" t="s">
        <v>1</v>
      </c>
      <c r="F19" s="311" t="s">
        <v>667</v>
      </c>
      <c r="G19" s="312" t="s">
        <v>1483</v>
      </c>
      <c r="H19" s="309" t="s">
        <v>1461</v>
      </c>
      <c r="I19" s="404" t="s">
        <v>1484</v>
      </c>
      <c r="J19" s="99" t="s">
        <v>1485</v>
      </c>
      <c r="K19" s="404" t="s">
        <v>1486</v>
      </c>
      <c r="L19" s="404" t="s">
        <v>1487</v>
      </c>
      <c r="M19" s="404" t="s">
        <v>1488</v>
      </c>
      <c r="N19" s="312" t="s">
        <v>1500</v>
      </c>
      <c r="O19" s="319" t="s">
        <v>729</v>
      </c>
      <c r="P19" s="320" t="s">
        <v>706</v>
      </c>
      <c r="Q19" s="320" t="s">
        <v>21</v>
      </c>
      <c r="R19" s="320" t="s">
        <v>5</v>
      </c>
      <c r="S19" s="320" t="s">
        <v>6</v>
      </c>
      <c r="T19" s="320" t="s">
        <v>12</v>
      </c>
      <c r="U19" s="320" t="s">
        <v>7</v>
      </c>
      <c r="V19" s="320" t="s">
        <v>22</v>
      </c>
      <c r="W19" s="320" t="s">
        <v>707</v>
      </c>
      <c r="X19" s="320" t="s">
        <v>13</v>
      </c>
      <c r="Y19" s="320" t="s">
        <v>759</v>
      </c>
      <c r="Z19" s="321" t="s">
        <v>1479</v>
      </c>
      <c r="AA19" s="321" t="s">
        <v>1480</v>
      </c>
      <c r="AB19" s="321" t="s">
        <v>1481</v>
      </c>
      <c r="AC19" s="321" t="s">
        <v>1482</v>
      </c>
      <c r="AD19" s="313"/>
      <c r="AE19" s="405" t="s">
        <v>1493</v>
      </c>
      <c r="AG19" s="53"/>
    </row>
    <row r="20" spans="2:52" ht="15" customHeight="1" x14ac:dyDescent="0.25">
      <c r="B20" s="364" t="str">
        <f t="shared" ref="B20:B21" si="0">IF(D20&lt;&gt;"",CONCATENATE(D20,"-",E20),"")</f>
        <v>Private forest-Andira retusa</v>
      </c>
      <c r="C20" s="387">
        <v>2015</v>
      </c>
      <c r="D20" s="366" t="s">
        <v>1512</v>
      </c>
      <c r="E20" s="366" t="s">
        <v>280</v>
      </c>
      <c r="F20" s="421">
        <v>25</v>
      </c>
      <c r="G20" s="365"/>
      <c r="H20" s="413">
        <v>5</v>
      </c>
      <c r="I20" s="98"/>
      <c r="J20" s="98"/>
      <c r="K20" s="403"/>
      <c r="L20" s="403"/>
      <c r="M20" s="403"/>
      <c r="N20" s="98"/>
      <c r="O20" s="367">
        <f>IF(D20&lt;&gt;"",VLOOKUP(D20,strata_tbl[],2,FALSE),"")</f>
        <v>200</v>
      </c>
      <c r="P20" s="367">
        <f>IF(D20&lt;&gt;"",VLOOKUP(E20,species_tbl[],3,FALSE),"")</f>
        <v>0.47</v>
      </c>
      <c r="Q20" s="368">
        <f>IF(C20&lt;&gt;"",Species!$I$21,"")</f>
        <v>0.5</v>
      </c>
      <c r="R20" s="368">
        <f>IF(D20&lt;&gt;"",Species!$I$20,"")</f>
        <v>0.1</v>
      </c>
      <c r="S20" s="368">
        <f>IF(D20&lt;&gt;"",'General Data'!$J$19,"")</f>
        <v>300</v>
      </c>
      <c r="T20" s="368">
        <f>IF(D20&lt;&gt;"",Inventory_data!$O20/'General Data'!$J$15,"")</f>
        <v>0.4</v>
      </c>
      <c r="U20" s="368">
        <f>IF(D20&lt;&gt;"",VLOOKUP(TRIM($E20),species_tbl[],2,FALSE),"")</f>
        <v>0.67</v>
      </c>
      <c r="V20" s="368">
        <f>IF(D20&lt;&gt;"",VLOOKUP(TRIM($E20),species_tbl[],4,FALSE),"")</f>
        <v>3.4</v>
      </c>
      <c r="W20" s="369">
        <f>IF(D20&lt;&gt;"",Inventory_data!$U20*Inventory_data!$V20*Inventory_data!$F20,"")</f>
        <v>56.95</v>
      </c>
      <c r="X20" s="370">
        <f t="shared" ref="X20:X21" si="1">IF(D20&lt;&gt;"",IF(W20&lt;&gt;0,EXP(-1.085+0.9256*LN(W20))/(W20),0),"")</f>
        <v>0.25013919838596194</v>
      </c>
      <c r="Y20" s="368">
        <f>IF(D20&lt;&gt;"",Species!$I$18,"")</f>
        <v>0.47</v>
      </c>
      <c r="Z20" s="370">
        <f t="shared" ref="Z20:Z21" si="2">IF(D20&lt;&gt;"",((44/12)*(1+X20)*P20*F20*U20*V20),"")</f>
        <v>122.69345312985877</v>
      </c>
      <c r="AA20" s="370">
        <f t="shared" ref="AA20:AA21" si="3">IF(D20&lt;&gt;"",(44/12)*Y20*Q20*R20*S20,"")</f>
        <v>25.85</v>
      </c>
      <c r="AB20" s="370">
        <f>IF(D20&lt;&gt;"",(VLOOKUP($D20,strata_tbl[],6,FALSE))*Inventory_data!$Z20,"")</f>
        <v>2.4538690625971755</v>
      </c>
      <c r="AC20" s="370">
        <f>IF(D20&lt;&gt;"",(VLOOKUP($D20,strata_tbl[],7,FALSE))*Inventory_data!$Z20,"")</f>
        <v>4.907738125194351</v>
      </c>
      <c r="AD20" s="313"/>
      <c r="AG20" s="53"/>
    </row>
    <row r="21" spans="2:52" ht="15" customHeight="1" x14ac:dyDescent="0.25">
      <c r="B21" s="328" t="str">
        <f t="shared" si="0"/>
        <v>Industrial Forest-Andira parviflora</v>
      </c>
      <c r="C21" s="387">
        <v>2015</v>
      </c>
      <c r="D21" s="366" t="s">
        <v>1514</v>
      </c>
      <c r="E21" s="366" t="s">
        <v>787</v>
      </c>
      <c r="F21" s="420">
        <v>40</v>
      </c>
      <c r="G21" s="387"/>
      <c r="H21" s="412">
        <v>8</v>
      </c>
      <c r="I21" s="99"/>
      <c r="J21" s="99"/>
      <c r="K21" s="318"/>
      <c r="L21" s="318"/>
      <c r="M21" s="318"/>
      <c r="O21" s="330">
        <f>IF(D21&lt;&gt;"",VLOOKUP(D21,strata_tbl[],2,FALSE),"")</f>
        <v>100</v>
      </c>
      <c r="P21" s="330">
        <f>IF(D21&lt;&gt;"",VLOOKUP(E21,species_tbl[],3,FALSE),"")</f>
        <v>0.47</v>
      </c>
      <c r="Q21" s="329">
        <f>IF(C21&lt;&gt;"",Species!$I$21,"")</f>
        <v>0.5</v>
      </c>
      <c r="R21" s="329">
        <f>IF(D21&lt;&gt;"",Species!$I$20,"")</f>
        <v>0.1</v>
      </c>
      <c r="S21" s="329">
        <f>IF(D21&lt;&gt;"",'General Data'!$J$19,"")</f>
        <v>300</v>
      </c>
      <c r="T21" s="329">
        <f>IF(D21&lt;&gt;"",Inventory_data!$O21/'General Data'!$J$15,"")</f>
        <v>0.2</v>
      </c>
      <c r="U21" s="329">
        <f>IF(D21&lt;&gt;"",VLOOKUP(TRIM($E21),species_tbl[],2,FALSE),"")</f>
        <v>0.69</v>
      </c>
      <c r="V21" s="329">
        <f>IF(D21&lt;&gt;"",VLOOKUP(TRIM($E21),species_tbl[],4,FALSE),"")</f>
        <v>3.4</v>
      </c>
      <c r="W21" s="331">
        <f>IF(D21&lt;&gt;"",Inventory_data!$U21*Inventory_data!$V21*Inventory_data!$F21,"")</f>
        <v>93.839999999999989</v>
      </c>
      <c r="X21" s="313">
        <f t="shared" si="1"/>
        <v>0.24101541482601563</v>
      </c>
      <c r="Y21" s="329">
        <f>IF(D21&lt;&gt;"",Species!$I$18,"")</f>
        <v>0.47</v>
      </c>
      <c r="Z21" s="313">
        <f t="shared" si="2"/>
        <v>200.69403444866768</v>
      </c>
      <c r="AA21" s="313">
        <f t="shared" si="3"/>
        <v>25.85</v>
      </c>
      <c r="AB21" s="313">
        <f>IF(D21&lt;&gt;"",(VLOOKUP($D21,strata_tbl[],6,FALSE))*Inventory_data!$Z21,"")</f>
        <v>2.0069403444866767</v>
      </c>
      <c r="AC21" s="313">
        <f>IF(D21&lt;&gt;"",(VLOOKUP($D21,strata_tbl[],7,FALSE))*Inventory_data!$Z21,"")</f>
        <v>2.0069403444866767</v>
      </c>
      <c r="AG21" s="53"/>
    </row>
    <row r="22" spans="2:52" ht="15" customHeight="1" x14ac:dyDescent="0.25">
      <c r="B22" s="328" t="str">
        <f>IF(D22&lt;&gt;"",CONCATENATE(D22,"-",E22),"")</f>
        <v>Plantation forest-Aniba amazonica</v>
      </c>
      <c r="C22" s="387">
        <v>2015</v>
      </c>
      <c r="D22" s="478" t="s">
        <v>1583</v>
      </c>
      <c r="E22" s="366" t="s">
        <v>788</v>
      </c>
      <c r="F22" s="420">
        <v>100</v>
      </c>
      <c r="G22" s="387"/>
      <c r="H22" s="412">
        <v>20</v>
      </c>
      <c r="I22" s="99"/>
      <c r="J22" s="99"/>
      <c r="K22" s="318"/>
      <c r="L22" s="318"/>
      <c r="M22" s="318"/>
      <c r="O22" s="330">
        <f>IF(D22&lt;&gt;"",VLOOKUP(D22,strata_tbl[],2,FALSE),"")</f>
        <v>200</v>
      </c>
      <c r="P22" s="330">
        <f>IF(D22&lt;&gt;"",VLOOKUP(E22,species_tbl[],3,FALSE),"")</f>
        <v>0.47</v>
      </c>
      <c r="Q22" s="329">
        <f>IF(C22&lt;&gt;"",Species!$I$21,"")</f>
        <v>0.5</v>
      </c>
      <c r="R22" s="329">
        <f>IF(D22&lt;&gt;"",Species!$I$20,"")</f>
        <v>0.1</v>
      </c>
      <c r="S22" s="329">
        <f>IF(D22&lt;&gt;"",'General Data'!$J$19,"")</f>
        <v>300</v>
      </c>
      <c r="T22" s="329">
        <f>IF(D22&lt;&gt;"",Inventory_data!$O22/'General Data'!$J$15,"")</f>
        <v>0.4</v>
      </c>
      <c r="U22" s="329">
        <f>IF(D22&lt;&gt;"",VLOOKUP(TRIM($E22),species_tbl[],2,FALSE),"")</f>
        <v>0.56000000000000005</v>
      </c>
      <c r="V22" s="329">
        <f>IF(D22&lt;&gt;"",VLOOKUP(TRIM($E22),species_tbl[],4,FALSE),"")</f>
        <v>3.4</v>
      </c>
      <c r="W22" s="331">
        <f>IF(D22&lt;&gt;"",Inventory_data!$U22*Inventory_data!$V22*Inventory_data!$F22,"")</f>
        <v>190.4</v>
      </c>
      <c r="X22" s="313">
        <f>IF(D22&lt;&gt;"",IF(W22&lt;&gt;0,EXP(-1.085+0.9256*LN(W22))/(W22),0),"")</f>
        <v>0.22865634992153483</v>
      </c>
      <c r="Y22" s="329">
        <f>IF(D22&lt;&gt;"",Species!$I$18,"")</f>
        <v>0.47</v>
      </c>
      <c r="Z22" s="313">
        <f>IF(D22&lt;&gt;"",((44/12)*(1+X22)*P22*F22*U22*V22),"")</f>
        <v>403.14999795318715</v>
      </c>
      <c r="AA22" s="313">
        <f>IF(D22&lt;&gt;"",(44/12)*Y22*Q22*R22*S22,"")</f>
        <v>25.85</v>
      </c>
      <c r="AB22" s="313">
        <f>IF(D22&lt;&gt;"",(VLOOKUP($D22,strata_tbl[],6,FALSE))*Inventory_data!$Z22,"")</f>
        <v>8.0629999590637436</v>
      </c>
      <c r="AC22" s="313">
        <f>IF(D22&lt;&gt;"",(VLOOKUP($D22,strata_tbl[],7,FALSE))*Inventory_data!$Z22,"")</f>
        <v>16.125999918127487</v>
      </c>
      <c r="AG22" s="99"/>
      <c r="AH22" s="99"/>
    </row>
    <row r="23" spans="2:52" ht="15" customHeight="1" x14ac:dyDescent="0.25">
      <c r="B23" s="328" t="e">
        <f>IF(#REF!&lt;&gt;"",CONCATENATE(#REF!,"-",#REF!),"")</f>
        <v>#REF!</v>
      </c>
      <c r="C23" s="387"/>
      <c r="F23" s="420"/>
      <c r="G23" s="387"/>
      <c r="H23" s="412"/>
      <c r="I23" s="99"/>
      <c r="J23" s="99"/>
      <c r="K23" s="318"/>
      <c r="L23" s="318"/>
      <c r="M23" s="318"/>
      <c r="O23" s="330"/>
      <c r="P23" s="330"/>
      <c r="Q23" s="329" t="str">
        <f>IF(C23&lt;&gt;"",Species!$I$21,"")</f>
        <v/>
      </c>
      <c r="R23" s="329"/>
      <c r="S23" s="329"/>
      <c r="T23" s="329"/>
      <c r="U23" s="329"/>
      <c r="V23" s="329"/>
      <c r="W23" s="331"/>
      <c r="X23" s="313"/>
      <c r="Y23" s="329"/>
      <c r="Z23" s="313"/>
      <c r="AA23" s="313"/>
      <c r="AB23" s="313"/>
      <c r="AC23" s="313"/>
    </row>
  </sheetData>
  <sheetProtection algorithmName="SHA-512" hashValue="117zJA6uHBrnX4trryDkOrA4iqgj/1YgWvrm44jbbuBpQ5LG3DoFw6heABXWih26WOONuEXlW7a+HFNy2aRACg==" saltValue="hHyZdTPFRdmYqKck/9H8oA==" spinCount="100000" sheet="1" objects="1" scenarios="1" insertRows="0" deleteRows="0"/>
  <mergeCells count="2">
    <mergeCell ref="K17:M17"/>
    <mergeCell ref="C17:F17"/>
  </mergeCells>
  <conditionalFormatting sqref="E20:E22">
    <cfRule type="expression" dxfId="8" priority="45">
      <formula>ISNA(INDEX(Species,MATCH(E20,Species,0)))</formula>
    </cfRule>
  </conditionalFormatting>
  <dataValidations count="2">
    <dataValidation type="list" allowBlank="1" showInputMessage="1" showErrorMessage="1" sqref="E20:E22" xr:uid="{00000000-0002-0000-0800-000000000000}">
      <formula1>Species</formula1>
    </dataValidation>
    <dataValidation type="list" allowBlank="1" showInputMessage="1" showErrorMessage="1" sqref="D20:D22" xr:uid="{00000000-0002-0000-0800-000001000000}">
      <formula1>Stratum</formula1>
    </dataValidation>
  </dataValidations>
  <pageMargins left="0.7" right="0.7" top="0.75" bottom="0.75" header="0.3" footer="0.3"/>
  <drawing r:id="rId1"/>
  <tableParts count="1">
    <tablePart r:id="rId2"/>
  </tableParts>
  <extLst>
    <ext xmlns:x14="http://schemas.microsoft.com/office/spreadsheetml/2009/9/main" uri="{78C0D931-6437-407d-A8EE-F0AAD7539E65}">
      <x14:conditionalFormattings>
        <x14:conditionalFormatting xmlns:xm="http://schemas.microsoft.com/office/excel/2006/main">
          <x14:cfRule type="expression" priority="99" id="{11BAC17B-4CE6-4524-9E30-4FA312572E8E}">
            <xm:f>Accuracy!$E$17="No"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vertical/>
                <horizontal/>
              </border>
            </x14:dxf>
          </x14:cfRule>
          <xm:sqref>H17:I17 K17:M17 H19:I19 K19:M19</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4:V22"/>
  <sheetViews>
    <sheetView zoomScale="130" zoomScaleNormal="130" workbookViewId="0">
      <selection activeCell="E18" sqref="E18"/>
    </sheetView>
  </sheetViews>
  <sheetFormatPr defaultColWidth="8.7109375" defaultRowHeight="15" x14ac:dyDescent="0.25"/>
  <cols>
    <col min="1" max="1" width="11.28515625" customWidth="1"/>
    <col min="2" max="2" width="13" customWidth="1"/>
    <col min="3" max="3" width="12" customWidth="1"/>
    <col min="4" max="4" width="25" customWidth="1"/>
    <col min="5" max="5" width="18.7109375" customWidth="1"/>
    <col min="6" max="6" width="15" customWidth="1"/>
    <col min="7" max="7" width="14.28515625" style="1" customWidth="1"/>
    <col min="8" max="8" width="40.5703125" style="1" customWidth="1"/>
    <col min="9" max="9" width="42" style="1" customWidth="1"/>
    <col min="10" max="10" width="46" customWidth="1"/>
    <col min="11" max="11" width="40.85546875" customWidth="1"/>
    <col min="12" max="12" width="23.140625" customWidth="1"/>
    <col min="15" max="15" width="5.42578125" customWidth="1"/>
    <col min="16" max="16" width="18" bestFit="1" customWidth="1"/>
    <col min="17" max="17" width="14.28515625" customWidth="1"/>
    <col min="18" max="18" width="16.28515625" customWidth="1"/>
    <col min="19" max="19" width="40" customWidth="1"/>
    <col min="20" max="20" width="41.28515625" customWidth="1"/>
    <col min="21" max="21" width="45.42578125" customWidth="1"/>
    <col min="22" max="22" width="39.85546875" bestFit="1" customWidth="1"/>
  </cols>
  <sheetData>
    <row r="4" spans="1:22" x14ac:dyDescent="0.25">
      <c r="F4" s="382" t="s">
        <v>14</v>
      </c>
      <c r="G4"/>
      <c r="H4"/>
      <c r="I4"/>
      <c r="O4" s="380">
        <v>2015</v>
      </c>
      <c r="Q4" s="314"/>
      <c r="R4" s="1"/>
    </row>
    <row r="5" spans="1:22" x14ac:dyDescent="0.25">
      <c r="A5" s="382" t="s">
        <v>15</v>
      </c>
      <c r="B5" s="382" t="s">
        <v>0</v>
      </c>
      <c r="C5" s="382" t="s">
        <v>1</v>
      </c>
      <c r="D5" s="382" t="s">
        <v>12</v>
      </c>
      <c r="E5" s="382" t="s">
        <v>729</v>
      </c>
      <c r="F5" s="380" t="s">
        <v>1507</v>
      </c>
      <c r="G5" s="380" t="s">
        <v>1494</v>
      </c>
      <c r="H5" s="380" t="s">
        <v>1466</v>
      </c>
      <c r="I5" s="380" t="s">
        <v>1467</v>
      </c>
      <c r="J5" s="380" t="s">
        <v>1468</v>
      </c>
      <c r="K5" s="380" t="s">
        <v>1469</v>
      </c>
      <c r="L5" s="380" t="s">
        <v>1453</v>
      </c>
      <c r="P5" s="1"/>
      <c r="Q5" s="1"/>
      <c r="R5" s="1"/>
      <c r="S5" s="1"/>
      <c r="T5" s="1"/>
      <c r="U5" s="1"/>
      <c r="V5" s="1"/>
    </row>
    <row r="6" spans="1:22" x14ac:dyDescent="0.25">
      <c r="A6" s="380">
        <v>2015</v>
      </c>
      <c r="B6" s="380" t="s">
        <v>1512</v>
      </c>
      <c r="C6" s="380" t="s">
        <v>280</v>
      </c>
      <c r="D6" s="380">
        <v>0.4</v>
      </c>
      <c r="E6" s="380">
        <v>200</v>
      </c>
      <c r="F6" s="383">
        <v>2015</v>
      </c>
      <c r="G6" s="383">
        <v>0</v>
      </c>
      <c r="H6" s="383">
        <v>122.69345312985877</v>
      </c>
      <c r="I6" s="383">
        <v>25.85</v>
      </c>
      <c r="J6" s="383">
        <v>2.4538690625971755</v>
      </c>
      <c r="K6" s="383">
        <v>4.907738125194351</v>
      </c>
      <c r="L6" s="383">
        <v>200</v>
      </c>
      <c r="N6" s="1"/>
      <c r="P6" s="1"/>
      <c r="Q6" s="1"/>
      <c r="R6" s="202"/>
      <c r="S6" s="202"/>
      <c r="T6" s="202"/>
      <c r="U6" s="202"/>
      <c r="V6" s="202"/>
    </row>
    <row r="7" spans="1:22" x14ac:dyDescent="0.25">
      <c r="B7" s="380" t="s">
        <v>1514</v>
      </c>
      <c r="C7" s="380" t="s">
        <v>787</v>
      </c>
      <c r="D7" s="380">
        <v>0.2</v>
      </c>
      <c r="E7" s="380">
        <v>100</v>
      </c>
      <c r="F7" s="383">
        <v>2015</v>
      </c>
      <c r="G7" s="383">
        <v>0</v>
      </c>
      <c r="H7" s="383">
        <v>200.69403444866768</v>
      </c>
      <c r="I7" s="383">
        <v>25.85</v>
      </c>
      <c r="J7" s="383">
        <v>2.0069403444866767</v>
      </c>
      <c r="K7" s="383">
        <v>2.0069403444866767</v>
      </c>
      <c r="L7" s="383">
        <v>100</v>
      </c>
      <c r="M7" s="1"/>
      <c r="N7" s="1"/>
      <c r="P7" s="1"/>
      <c r="Q7" s="1"/>
      <c r="R7" s="202"/>
      <c r="S7" s="202"/>
      <c r="T7" s="202"/>
      <c r="U7" s="202"/>
      <c r="V7" s="202"/>
    </row>
    <row r="8" spans="1:22" x14ac:dyDescent="0.25">
      <c r="B8" s="380" t="s">
        <v>1583</v>
      </c>
      <c r="C8" s="380" t="s">
        <v>788</v>
      </c>
      <c r="D8" s="380">
        <v>0.4</v>
      </c>
      <c r="E8" s="380">
        <v>200</v>
      </c>
      <c r="F8" s="383">
        <v>2015</v>
      </c>
      <c r="G8" s="383">
        <v>0</v>
      </c>
      <c r="H8" s="383">
        <v>403.14999795318715</v>
      </c>
      <c r="I8" s="383">
        <v>25.85</v>
      </c>
      <c r="J8" s="383">
        <v>8.0629999590637436</v>
      </c>
      <c r="K8" s="383">
        <v>16.125999918127487</v>
      </c>
      <c r="L8" s="383">
        <v>200</v>
      </c>
      <c r="M8" s="1"/>
      <c r="N8" s="1"/>
      <c r="O8" s="1"/>
      <c r="P8" s="1"/>
      <c r="Q8" s="1"/>
      <c r="R8" s="202"/>
      <c r="S8" s="202"/>
      <c r="T8" s="202"/>
      <c r="U8" s="202"/>
      <c r="V8" s="202"/>
    </row>
    <row r="9" spans="1:22" x14ac:dyDescent="0.25">
      <c r="G9"/>
      <c r="H9"/>
      <c r="I9"/>
      <c r="M9" s="1"/>
      <c r="N9" s="1"/>
      <c r="O9" s="1"/>
      <c r="P9" s="1"/>
      <c r="Q9" s="1"/>
      <c r="R9" s="202"/>
      <c r="S9" s="202"/>
      <c r="T9" s="202"/>
      <c r="U9" s="202"/>
      <c r="V9" s="202"/>
    </row>
    <row r="10" spans="1:22" x14ac:dyDescent="0.25">
      <c r="G10"/>
      <c r="H10"/>
      <c r="I10"/>
      <c r="M10" s="1"/>
      <c r="N10" s="1"/>
      <c r="O10" s="1"/>
      <c r="P10" s="1"/>
      <c r="Q10" s="1"/>
      <c r="R10" s="202"/>
      <c r="S10" s="202"/>
      <c r="T10" s="202"/>
      <c r="U10" s="202"/>
      <c r="V10" s="202"/>
    </row>
    <row r="11" spans="1:22" x14ac:dyDescent="0.25">
      <c r="G11"/>
      <c r="H11"/>
      <c r="I11"/>
      <c r="M11" s="1"/>
      <c r="N11" s="1"/>
      <c r="O11" s="1"/>
      <c r="P11" s="1"/>
      <c r="Q11" s="1"/>
      <c r="R11" s="202"/>
      <c r="S11" s="202"/>
      <c r="T11" s="202"/>
      <c r="U11" s="202"/>
      <c r="V11" s="202"/>
    </row>
    <row r="12" spans="1:22" x14ac:dyDescent="0.25">
      <c r="G12"/>
      <c r="H12"/>
      <c r="I12"/>
      <c r="M12" s="1"/>
      <c r="N12" s="1"/>
      <c r="O12" s="1"/>
      <c r="P12" s="1"/>
      <c r="Q12" s="1"/>
      <c r="R12" s="202"/>
      <c r="S12" s="202"/>
      <c r="T12" s="202"/>
      <c r="U12" s="202"/>
      <c r="V12" s="202"/>
    </row>
    <row r="13" spans="1:22" x14ac:dyDescent="0.25">
      <c r="G13"/>
      <c r="H13"/>
      <c r="I13"/>
      <c r="M13" s="1"/>
      <c r="N13" s="1"/>
      <c r="O13" s="1"/>
      <c r="P13" s="1"/>
      <c r="R13" s="202"/>
      <c r="S13" s="202"/>
      <c r="T13" s="202"/>
      <c r="U13" s="202"/>
      <c r="V13" s="202"/>
    </row>
    <row r="14" spans="1:22" x14ac:dyDescent="0.25">
      <c r="G14"/>
      <c r="H14"/>
      <c r="I14"/>
    </row>
    <row r="15" spans="1:22" x14ac:dyDescent="0.25">
      <c r="G15"/>
      <c r="H15"/>
      <c r="I15"/>
    </row>
    <row r="16" spans="1:22" x14ac:dyDescent="0.25">
      <c r="G16"/>
      <c r="H16"/>
      <c r="I16"/>
    </row>
    <row r="17" spans="7:9" x14ac:dyDescent="0.25">
      <c r="G17"/>
      <c r="H17"/>
      <c r="I17"/>
    </row>
    <row r="18" spans="7:9" x14ac:dyDescent="0.25">
      <c r="G18"/>
      <c r="H18"/>
      <c r="I18"/>
    </row>
    <row r="19" spans="7:9" x14ac:dyDescent="0.25">
      <c r="G19"/>
      <c r="H19"/>
      <c r="I19"/>
    </row>
    <row r="20" spans="7:9" x14ac:dyDescent="0.25">
      <c r="G20"/>
      <c r="H20"/>
      <c r="I20"/>
    </row>
    <row r="21" spans="7:9" x14ac:dyDescent="0.25">
      <c r="G21"/>
      <c r="H21"/>
      <c r="I21"/>
    </row>
    <row r="22" spans="7:9" x14ac:dyDescent="0.25">
      <c r="G22"/>
      <c r="H22"/>
      <c r="I2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
  <dimension ref="A1:AQ58"/>
  <sheetViews>
    <sheetView showGridLines="0" zoomScaleNormal="100" workbookViewId="0">
      <pane ySplit="1" topLeftCell="A2" activePane="bottomLeft" state="frozen"/>
      <selection pane="bottomLeft" activeCell="A4" sqref="A4"/>
    </sheetView>
  </sheetViews>
  <sheetFormatPr defaultColWidth="8.7109375" defaultRowHeight="15" x14ac:dyDescent="0.25"/>
  <cols>
    <col min="1" max="1" width="6.7109375" customWidth="1"/>
    <col min="2" max="2" width="2.140625" style="1" customWidth="1"/>
    <col min="3" max="3" width="27.7109375" customWidth="1"/>
    <col min="4" max="4" width="24" customWidth="1"/>
    <col min="5" max="5" width="26.28515625" customWidth="1"/>
    <col min="6" max="6" width="36.140625" customWidth="1"/>
    <col min="7" max="7" width="28.140625" customWidth="1"/>
    <col min="8" max="8" width="12.42578125" customWidth="1"/>
    <col min="9" max="9" width="32.42578125" customWidth="1"/>
    <col min="10" max="10" width="10" customWidth="1"/>
    <col min="11" max="11" width="10.28515625" customWidth="1"/>
    <col min="12" max="12" width="19" customWidth="1"/>
    <col min="14" max="14" width="8.42578125" customWidth="1"/>
    <col min="15" max="15" width="14.140625" customWidth="1"/>
    <col min="17" max="17" width="64.28515625" style="206" bestFit="1" customWidth="1"/>
    <col min="18" max="18" width="8.7109375" style="206"/>
    <col min="21" max="21" width="21" customWidth="1"/>
  </cols>
  <sheetData>
    <row r="1" spans="2:43" s="32" customFormat="1" ht="134.25" customHeight="1" x14ac:dyDescent="0.25">
      <c r="Q1" s="85"/>
      <c r="R1" s="85"/>
      <c r="U1" s="38"/>
      <c r="V1" s="39"/>
      <c r="W1" s="39"/>
      <c r="X1" s="39"/>
      <c r="Y1" s="39"/>
      <c r="Z1" s="39"/>
      <c r="AA1" s="39"/>
      <c r="AB1" s="39"/>
      <c r="AC1" s="39"/>
      <c r="AE1" s="46"/>
      <c r="AF1" s="46"/>
      <c r="AG1" s="46"/>
      <c r="AH1" s="46"/>
      <c r="AI1" s="46"/>
      <c r="AJ1" s="46"/>
      <c r="AK1" s="46"/>
      <c r="AL1" s="46"/>
      <c r="AM1" s="46"/>
      <c r="AN1" s="46"/>
      <c r="AO1" s="46"/>
      <c r="AP1" s="46"/>
      <c r="AQ1" s="47"/>
    </row>
    <row r="2" spans="2:43" ht="18" customHeight="1" x14ac:dyDescent="0.25"/>
    <row r="3" spans="2:43" s="1" customFormat="1" ht="21" x14ac:dyDescent="0.35">
      <c r="B3" s="571" t="s">
        <v>1560</v>
      </c>
      <c r="C3" s="571"/>
      <c r="D3" s="571"/>
      <c r="E3" s="207"/>
      <c r="F3" s="465" t="s">
        <v>1454</v>
      </c>
      <c r="Q3" s="206"/>
      <c r="R3" s="206"/>
    </row>
    <row r="4" spans="2:43" s="1" customFormat="1" ht="26.25" x14ac:dyDescent="0.3">
      <c r="B4" s="286"/>
      <c r="C4" s="286"/>
      <c r="D4" s="286"/>
      <c r="E4" s="207"/>
      <c r="Q4" s="206"/>
      <c r="R4" s="206"/>
    </row>
    <row r="5" spans="2:43" s="1" customFormat="1" ht="26.25" x14ac:dyDescent="0.3">
      <c r="B5" s="286"/>
      <c r="C5" s="286"/>
      <c r="D5" s="286"/>
      <c r="E5" s="207"/>
      <c r="Q5" s="206"/>
      <c r="R5" s="206"/>
    </row>
    <row r="6" spans="2:43" s="1" customFormat="1" ht="18" customHeight="1" x14ac:dyDescent="0.25">
      <c r="Q6" s="206"/>
      <c r="R6" s="206"/>
    </row>
    <row r="7" spans="2:43" s="1" customFormat="1" ht="18" customHeight="1" x14ac:dyDescent="0.25">
      <c r="Q7" s="206"/>
      <c r="R7" s="206"/>
    </row>
    <row r="8" spans="2:43" s="380" customFormat="1" ht="18" customHeight="1" x14ac:dyDescent="0.25">
      <c r="Q8" s="206"/>
      <c r="R8" s="206"/>
    </row>
    <row r="9" spans="2:43" s="380" customFormat="1" ht="18" customHeight="1" x14ac:dyDescent="0.25">
      <c r="Q9" s="206"/>
      <c r="R9" s="206"/>
    </row>
    <row r="10" spans="2:43" s="380" customFormat="1" ht="18" customHeight="1" x14ac:dyDescent="0.25">
      <c r="Q10" s="206"/>
      <c r="R10" s="206"/>
    </row>
    <row r="11" spans="2:43" s="380" customFormat="1" ht="18" customHeight="1" x14ac:dyDescent="0.25">
      <c r="Q11" s="206"/>
      <c r="R11" s="206"/>
    </row>
    <row r="12" spans="2:43" s="380" customFormat="1" ht="18" customHeight="1" x14ac:dyDescent="0.25">
      <c r="Q12" s="206"/>
      <c r="R12" s="206"/>
    </row>
    <row r="14" spans="2:43" s="1" customFormat="1" ht="23.25" x14ac:dyDescent="0.35">
      <c r="C14" s="464" t="s">
        <v>1561</v>
      </c>
      <c r="J14" s="446"/>
      <c r="Q14" s="206"/>
      <c r="R14" s="206"/>
    </row>
    <row r="15" spans="2:43" s="1" customFormat="1" ht="30" customHeight="1" thickBot="1" x14ac:dyDescent="0.3">
      <c r="C15" s="441"/>
      <c r="Q15" s="206"/>
      <c r="R15" s="206"/>
    </row>
    <row r="16" spans="2:43" s="1" customFormat="1" ht="48.75" customHeight="1" thickBot="1" x14ac:dyDescent="0.3">
      <c r="B16" s="584" t="str">
        <f>'General Data'!D15&amp;" located in "&amp;'General Data'!D17&amp;";"&amp;" size "&amp;'General Data'!J15&amp;" ha"&amp;"; "&amp;'General Data'!J17&amp;" "&amp;"conditions"</f>
        <v>Brazil FMU Project located in Brazil; size 500 ha; Tropical conditions</v>
      </c>
      <c r="C16" s="585"/>
      <c r="D16" s="585"/>
      <c r="E16" s="585"/>
      <c r="F16" s="585"/>
      <c r="G16" s="585"/>
      <c r="H16" s="585"/>
      <c r="I16" s="586"/>
      <c r="Q16" s="206"/>
      <c r="R16" s="206"/>
    </row>
    <row r="17" spans="2:19" s="1" customFormat="1" ht="30" customHeight="1" x14ac:dyDescent="0.25">
      <c r="Q17" s="206"/>
      <c r="R17" s="206"/>
    </row>
    <row r="18" spans="2:19" s="1" customFormat="1" ht="30" customHeight="1" thickBot="1" x14ac:dyDescent="0.4">
      <c r="B18" s="572" t="s">
        <v>1562</v>
      </c>
      <c r="C18" s="572"/>
      <c r="D18" s="572"/>
      <c r="F18" s="465" t="s">
        <v>1454</v>
      </c>
      <c r="Q18" s="206"/>
      <c r="R18" s="206"/>
    </row>
    <row r="19" spans="2:19" s="1" customFormat="1" ht="15.75" thickBot="1" x14ac:dyDescent="0.3">
      <c r="B19" s="181"/>
      <c r="C19" s="182"/>
      <c r="D19" s="182"/>
      <c r="E19" s="182"/>
      <c r="F19" s="182"/>
      <c r="G19" s="182"/>
      <c r="H19" s="182"/>
      <c r="I19" s="182"/>
      <c r="J19" s="182"/>
      <c r="K19" s="182"/>
      <c r="L19" s="182"/>
      <c r="M19" s="183"/>
      <c r="N19" s="102"/>
      <c r="O19" s="102"/>
      <c r="Q19" s="206"/>
      <c r="R19" s="206"/>
    </row>
    <row r="20" spans="2:19" s="1" customFormat="1" ht="29.25" customHeight="1" thickBot="1" x14ac:dyDescent="0.3">
      <c r="B20" s="184"/>
      <c r="C20" s="66" t="s">
        <v>15</v>
      </c>
      <c r="D20" s="346">
        <v>2015</v>
      </c>
      <c r="E20" s="185"/>
      <c r="F20" s="185"/>
      <c r="G20" s="185"/>
      <c r="H20" s="185"/>
      <c r="I20" s="185"/>
      <c r="J20" s="185"/>
      <c r="K20" s="185"/>
      <c r="L20" s="185"/>
      <c r="M20" s="186"/>
      <c r="N20" s="102"/>
      <c r="O20" s="102"/>
      <c r="Q20" s="206"/>
      <c r="R20" s="206"/>
    </row>
    <row r="21" spans="2:19" ht="21" customHeight="1" thickBot="1" x14ac:dyDescent="0.35">
      <c r="B21" s="184"/>
      <c r="C21" s="185"/>
      <c r="D21" s="185"/>
      <c r="E21" s="185"/>
      <c r="F21" s="187" t="s">
        <v>1430</v>
      </c>
      <c r="G21" s="185"/>
      <c r="H21" s="185"/>
      <c r="I21" s="187" t="s">
        <v>1459</v>
      </c>
      <c r="J21" s="185"/>
      <c r="K21" s="185"/>
      <c r="L21" s="185"/>
      <c r="M21" s="186"/>
      <c r="N21" s="102"/>
      <c r="O21" s="102"/>
    </row>
    <row r="22" spans="2:19" s="1" customFormat="1" ht="31.5" customHeight="1" thickBot="1" x14ac:dyDescent="0.3">
      <c r="B22" s="184"/>
      <c r="C22" s="66" t="s">
        <v>1434</v>
      </c>
      <c r="D22" s="188">
        <f>'General Data'!J15</f>
        <v>500</v>
      </c>
      <c r="E22" s="185"/>
      <c r="F22" s="197" t="s">
        <v>1517</v>
      </c>
      <c r="G22" s="189">
        <f>SUMPRODUCT(--(Int_calc3!F:F=Results!$D$20),Int_calc3!D:D,Int_calc3!J:J)+SUMPRODUCT(--(Int_calc3!F:F=Results!$D$20),Int_calc3!D:D,Int_calc3!K:K)+SUMPRODUCT(--(Int_calc3!F:F=Results!$D$20),Int_calc3!D:D,Int_calc3!H:H)+SUMPRODUCT(--(Int_calc3!F:F=Results!$D$20),Int_calc3!D:D,Int_calc3!I:I)</f>
        <v>289.74920628673971</v>
      </c>
      <c r="H22" s="185"/>
      <c r="I22" s="197" t="s">
        <v>1431</v>
      </c>
      <c r="J22" s="198">
        <f>Management!AG17</f>
        <v>8.6579999999999995</v>
      </c>
      <c r="K22" s="578">
        <f>J22+J23</f>
        <v>19.898</v>
      </c>
      <c r="L22" s="580" t="s">
        <v>1460</v>
      </c>
      <c r="M22" s="186"/>
      <c r="N22" s="102"/>
      <c r="O22" s="102"/>
      <c r="Q22" s="206"/>
      <c r="R22" s="206"/>
    </row>
    <row r="23" spans="2:19" s="1" customFormat="1" ht="30.75" customHeight="1" thickBot="1" x14ac:dyDescent="0.3">
      <c r="B23" s="184"/>
      <c r="C23" s="66" t="s">
        <v>1435</v>
      </c>
      <c r="D23" s="188">
        <f>SUMIF(Int_calc3!F:F,D20,Int_calc3!E:E)</f>
        <v>500</v>
      </c>
      <c r="E23" s="185"/>
      <c r="F23" s="197" t="s">
        <v>1470</v>
      </c>
      <c r="G23" s="189">
        <f>G22*D22</f>
        <v>144874.60314336987</v>
      </c>
      <c r="H23" s="191"/>
      <c r="I23" s="197" t="s">
        <v>1432</v>
      </c>
      <c r="J23" s="199">
        <f>Management!AH17</f>
        <v>11.24</v>
      </c>
      <c r="K23" s="579"/>
      <c r="L23" s="581"/>
      <c r="M23" s="186"/>
      <c r="N23" s="102"/>
      <c r="O23" s="102"/>
      <c r="Q23" s="206"/>
      <c r="R23" s="206"/>
    </row>
    <row r="24" spans="2:19" s="1" customFormat="1" ht="24" customHeight="1" thickBot="1" x14ac:dyDescent="0.35">
      <c r="B24" s="184"/>
      <c r="C24" s="185"/>
      <c r="D24" s="185"/>
      <c r="E24" s="185"/>
      <c r="F24" s="187" t="s">
        <v>1477</v>
      </c>
      <c r="G24" s="185"/>
      <c r="H24" s="185"/>
      <c r="I24" s="185"/>
      <c r="J24" s="185"/>
      <c r="K24" s="185"/>
      <c r="L24" s="185"/>
      <c r="M24" s="186"/>
      <c r="N24" s="102"/>
      <c r="O24" s="102"/>
      <c r="Q24" s="206"/>
      <c r="R24" s="206"/>
    </row>
    <row r="25" spans="2:19" s="1" customFormat="1" ht="30" customHeight="1" thickBot="1" x14ac:dyDescent="0.3">
      <c r="B25" s="184"/>
      <c r="C25" s="185"/>
      <c r="D25" s="185"/>
      <c r="E25" s="185"/>
      <c r="F25" s="197" t="s">
        <v>1519</v>
      </c>
      <c r="G25" s="189">
        <f>SUMPRODUCT(--(Int_calc3!F:F=Results!$D$20),Int_calc3!D:D,Int_calc3!H:H)</f>
        <v>250.47618732295192</v>
      </c>
      <c r="H25" s="191"/>
      <c r="I25" s="197" t="s">
        <v>1447</v>
      </c>
      <c r="J25" s="190">
        <f>IF(Management!B27&lt;&gt;"",SUM(Management!AB:AB),0)</f>
        <v>0</v>
      </c>
      <c r="K25" s="582">
        <f>J25+J26</f>
        <v>0</v>
      </c>
      <c r="L25" s="580" t="s">
        <v>1433</v>
      </c>
      <c r="M25" s="186"/>
      <c r="N25" s="102"/>
      <c r="O25" s="102"/>
      <c r="Q25" s="206"/>
      <c r="R25" s="206"/>
    </row>
    <row r="26" spans="2:19" s="1" customFormat="1" ht="30" customHeight="1" thickBot="1" x14ac:dyDescent="0.3">
      <c r="B26" s="184"/>
      <c r="C26" s="574" t="s">
        <v>1476</v>
      </c>
      <c r="D26" s="576">
        <f>G23+G30-K22-K25</f>
        <v>145174.44896336988</v>
      </c>
      <c r="E26" s="185"/>
      <c r="F26" s="197" t="s">
        <v>1520</v>
      </c>
      <c r="G26" s="189">
        <f>SUMPRODUCT(--(Int_calc3!F:F=Results!$D$20),Int_calc3!D:D,Int_calc3!I:I)</f>
        <v>25.85</v>
      </c>
      <c r="H26" s="191"/>
      <c r="I26" s="197" t="s">
        <v>1448</v>
      </c>
      <c r="J26" s="192">
        <f>IF(Management!B27&lt;&gt;"",SUM(Management!AE:AE),0)</f>
        <v>0</v>
      </c>
      <c r="K26" s="583"/>
      <c r="L26" s="581"/>
      <c r="M26" s="186"/>
      <c r="N26" s="102"/>
      <c r="O26" s="102"/>
      <c r="Q26" s="206"/>
      <c r="R26" s="206"/>
    </row>
    <row r="27" spans="2:19" s="1" customFormat="1" ht="25.5" customHeight="1" thickBot="1" x14ac:dyDescent="0.3">
      <c r="B27" s="184"/>
      <c r="C27" s="575"/>
      <c r="D27" s="577"/>
      <c r="E27" s="185"/>
      <c r="F27" s="197" t="s">
        <v>1521</v>
      </c>
      <c r="G27" s="189">
        <f>SUMPRODUCT(--(Int_calc3!F:F=Results!$D$20),Int_calc3!D:D,Int_calc3!J:J)</f>
        <v>4.6081356775617035</v>
      </c>
      <c r="H27" s="191"/>
      <c r="I27" s="185"/>
      <c r="J27" s="191"/>
      <c r="K27" s="185"/>
      <c r="L27" s="185"/>
      <c r="M27" s="186"/>
      <c r="N27" s="102"/>
      <c r="O27" s="102"/>
      <c r="Q27" s="76"/>
      <c r="R27" s="76"/>
      <c r="S27" s="76"/>
    </row>
    <row r="28" spans="2:19" s="1" customFormat="1" ht="25.5" customHeight="1" thickBot="1" x14ac:dyDescent="0.35">
      <c r="B28" s="184"/>
      <c r="C28" s="185"/>
      <c r="D28" s="185"/>
      <c r="E28" s="185"/>
      <c r="F28" s="197" t="s">
        <v>1522</v>
      </c>
      <c r="G28" s="189">
        <f>SUMPRODUCT(--(Int_calc3!F:F=Results!$D$20),Int_calc3!D:D,Int_calc3!K:K)</f>
        <v>8.8148832862260704</v>
      </c>
      <c r="H28" s="191"/>
      <c r="I28" s="187"/>
      <c r="J28" s="185"/>
      <c r="K28" s="185"/>
      <c r="L28" s="185"/>
      <c r="M28" s="186"/>
      <c r="N28" s="102"/>
      <c r="O28" s="102"/>
      <c r="Q28" s="394" t="s">
        <v>751</v>
      </c>
      <c r="R28" s="76"/>
      <c r="S28" s="76"/>
    </row>
    <row r="29" spans="2:19" s="1" customFormat="1" ht="25.5" customHeight="1" thickBot="1" x14ac:dyDescent="0.3">
      <c r="B29" s="184"/>
      <c r="C29" s="185"/>
      <c r="D29" s="185"/>
      <c r="E29" s="185"/>
      <c r="F29" s="185"/>
      <c r="G29" s="185"/>
      <c r="H29" s="185"/>
      <c r="I29" s="185"/>
      <c r="J29" s="185"/>
      <c r="K29" s="185"/>
      <c r="L29" s="185"/>
      <c r="M29" s="186"/>
      <c r="N29" s="102"/>
      <c r="O29" s="102"/>
      <c r="Q29" s="395" t="s">
        <v>730</v>
      </c>
      <c r="R29" s="395" t="s">
        <v>1504</v>
      </c>
      <c r="S29" s="76"/>
    </row>
    <row r="30" spans="2:19" s="1" customFormat="1" ht="33" customHeight="1" thickBot="1" x14ac:dyDescent="0.35">
      <c r="B30" s="184"/>
      <c r="C30" s="193" t="str">
        <f>IF(Accuracy!$T$6="Yes","Results - Loss Method selective logging in tropical forests  ","")</f>
        <v/>
      </c>
      <c r="D30" s="185"/>
      <c r="E30" s="185"/>
      <c r="F30" s="197" t="s">
        <v>1523</v>
      </c>
      <c r="G30" s="362">
        <f>$R$35</f>
        <v>319.7438199999998</v>
      </c>
      <c r="H30" s="185"/>
      <c r="I30" s="185"/>
      <c r="J30" s="185"/>
      <c r="K30" s="185"/>
      <c r="L30" s="185"/>
      <c r="M30" s="186"/>
      <c r="N30" s="102"/>
      <c r="O30" s="102"/>
      <c r="Q30" s="396" t="str">
        <f>HWP!N13</f>
        <v>Sawnwood</v>
      </c>
      <c r="R30" s="419">
        <f>SUMIF(HWP!$C$15:$C$18,Q30,HWP!$K$15:$K$18)</f>
        <v>304.2969599999999</v>
      </c>
      <c r="S30" s="76"/>
    </row>
    <row r="31" spans="2:19" s="1" customFormat="1" ht="27" customHeight="1" thickBot="1" x14ac:dyDescent="0.3">
      <c r="B31" s="184"/>
      <c r="C31" s="214" t="s">
        <v>1518</v>
      </c>
      <c r="D31" s="213" t="str">
        <f>IF(Accuracy!$T$6="Yes",(VLOOKUP('General Data'!$D$22,'General Data'!$U$17:$V$25,2,FALSE)*'General Data'!$D$24)*(44/12),"")</f>
        <v/>
      </c>
      <c r="E31" s="185"/>
      <c r="F31" s="185"/>
      <c r="G31" s="185"/>
      <c r="H31" s="185"/>
      <c r="I31" s="185"/>
      <c r="J31" s="185"/>
      <c r="K31" s="185"/>
      <c r="L31" s="185"/>
      <c r="M31" s="186"/>
      <c r="N31" s="102"/>
      <c r="O31" s="102"/>
      <c r="Q31" s="396" t="str">
        <f>HWP!N14</f>
        <v>Wood-based panels</v>
      </c>
      <c r="R31" s="419">
        <f>SUMIF(HWP!$C$15:$C$18,Q31,HWP!$K$15:$K$18)</f>
        <v>0</v>
      </c>
      <c r="S31" s="76"/>
    </row>
    <row r="32" spans="2:19" s="1" customFormat="1" ht="20.25" customHeight="1" x14ac:dyDescent="0.25">
      <c r="B32" s="184"/>
      <c r="C32" s="185"/>
      <c r="D32" s="185"/>
      <c r="E32" s="185"/>
      <c r="F32" s="185"/>
      <c r="G32" s="185"/>
      <c r="H32" s="185"/>
      <c r="I32" s="185"/>
      <c r="J32" s="185"/>
      <c r="K32" s="185"/>
      <c r="L32" s="185"/>
      <c r="M32" s="186"/>
      <c r="N32" s="102"/>
      <c r="O32" s="102"/>
      <c r="Q32" s="396" t="str">
        <f>HWP!N15</f>
        <v>Other industrial round wood</v>
      </c>
      <c r="R32" s="419">
        <f>SUMIF(HWP!$C$15:$C$18,Q32,HWP!$K$15:$K$18)</f>
        <v>8.3175399999999708</v>
      </c>
      <c r="S32" s="76"/>
    </row>
    <row r="33" spans="2:19" s="1" customFormat="1" ht="20.25" customHeight="1" x14ac:dyDescent="0.25">
      <c r="B33" s="184"/>
      <c r="C33" s="185"/>
      <c r="D33" s="185"/>
      <c r="E33" s="185"/>
      <c r="F33" s="185"/>
      <c r="G33" s="185"/>
      <c r="H33" s="185"/>
      <c r="I33" s="185"/>
      <c r="J33" s="185"/>
      <c r="K33" s="185"/>
      <c r="L33" s="185"/>
      <c r="M33" s="186"/>
      <c r="N33" s="102"/>
      <c r="O33" s="102"/>
      <c r="Q33" s="396" t="str">
        <f>HWP!N16</f>
        <v>Paper and paper board</v>
      </c>
      <c r="R33" s="419">
        <f>SUMIF(HWP!$C$15:$C$18,Q33,HWP!$K$15:$K$18)</f>
        <v>7.1293199999999599</v>
      </c>
      <c r="S33" s="76"/>
    </row>
    <row r="34" spans="2:19" s="1" customFormat="1" ht="21.75" customHeight="1" x14ac:dyDescent="0.25">
      <c r="B34" s="184"/>
      <c r="C34" s="185"/>
      <c r="D34" s="185"/>
      <c r="E34" s="185"/>
      <c r="F34" s="185"/>
      <c r="G34" s="185"/>
      <c r="H34" s="185"/>
      <c r="I34" s="185"/>
      <c r="J34" s="185"/>
      <c r="K34" s="185"/>
      <c r="L34" s="185"/>
      <c r="M34" s="186"/>
      <c r="N34" s="102"/>
      <c r="O34" s="102"/>
      <c r="Q34" s="396" t="str">
        <f>HWP!N17</f>
        <v>Other</v>
      </c>
      <c r="R34" s="419">
        <f>SUMIF(HWP!$C$15:$C$18,Q34,HWP!$K$15:$K$18)</f>
        <v>0</v>
      </c>
      <c r="S34" s="76"/>
    </row>
    <row r="35" spans="2:19" s="1" customFormat="1" ht="21.75" customHeight="1" x14ac:dyDescent="0.25">
      <c r="B35" s="184"/>
      <c r="C35" s="185"/>
      <c r="D35" s="185"/>
      <c r="E35" s="185"/>
      <c r="F35" s="185"/>
      <c r="G35" s="185"/>
      <c r="H35" s="185"/>
      <c r="I35" s="185"/>
      <c r="J35" s="185"/>
      <c r="K35" s="185"/>
      <c r="L35" s="185"/>
      <c r="M35" s="186"/>
      <c r="N35" s="102"/>
      <c r="O35" s="102"/>
      <c r="Q35" s="397" t="s">
        <v>767</v>
      </c>
      <c r="R35" s="398">
        <f>SUM(R30:R34)</f>
        <v>319.7438199999998</v>
      </c>
      <c r="S35" s="76"/>
    </row>
    <row r="36" spans="2:19" s="1" customFormat="1" ht="20.100000000000001" customHeight="1" x14ac:dyDescent="0.25">
      <c r="B36" s="184"/>
      <c r="C36" s="185"/>
      <c r="D36" s="185"/>
      <c r="E36" s="185"/>
      <c r="F36" s="185"/>
      <c r="G36" s="185"/>
      <c r="H36" s="185"/>
      <c r="I36" s="185"/>
      <c r="J36" s="185"/>
      <c r="K36" s="185"/>
      <c r="L36" s="185"/>
      <c r="M36" s="186"/>
      <c r="N36" s="102"/>
      <c r="O36" s="102"/>
      <c r="Q36" s="76"/>
      <c r="R36" s="76"/>
      <c r="S36" s="76"/>
    </row>
    <row r="37" spans="2:19" s="1" customFormat="1" ht="20.100000000000001" customHeight="1" x14ac:dyDescent="0.25">
      <c r="B37" s="184"/>
      <c r="C37" s="185"/>
      <c r="D37" s="185"/>
      <c r="E37" s="185"/>
      <c r="F37" s="185"/>
      <c r="G37" s="185"/>
      <c r="H37" s="185"/>
      <c r="I37" s="185"/>
      <c r="J37" s="185"/>
      <c r="K37" s="185"/>
      <c r="L37" s="185"/>
      <c r="M37" s="186"/>
      <c r="N37" s="102"/>
      <c r="O37" s="102"/>
      <c r="Q37" s="206"/>
      <c r="R37" s="206"/>
    </row>
    <row r="38" spans="2:19" s="1" customFormat="1" ht="20.100000000000001" customHeight="1" thickBot="1" x14ac:dyDescent="0.3">
      <c r="B38" s="194"/>
      <c r="C38" s="195"/>
      <c r="D38" s="195"/>
      <c r="E38" s="195"/>
      <c r="F38" s="195"/>
      <c r="G38" s="195"/>
      <c r="H38" s="195"/>
      <c r="I38" s="195"/>
      <c r="J38" s="195"/>
      <c r="K38" s="195"/>
      <c r="L38" s="195"/>
      <c r="M38" s="196"/>
      <c r="N38" s="102"/>
      <c r="O38" s="102"/>
      <c r="Q38" s="206"/>
      <c r="R38" s="206"/>
    </row>
    <row r="39" spans="2:19" s="1" customFormat="1" ht="20.100000000000001" customHeight="1" x14ac:dyDescent="0.25">
      <c r="B39" s="102"/>
      <c r="C39" s="102"/>
      <c r="D39" s="102"/>
      <c r="E39" s="102"/>
      <c r="F39" s="102"/>
      <c r="G39" s="102"/>
      <c r="H39" s="102"/>
      <c r="I39" s="102"/>
      <c r="J39" s="102"/>
      <c r="K39" s="102"/>
      <c r="L39" s="102"/>
      <c r="M39" s="102"/>
      <c r="N39" s="102"/>
      <c r="O39" s="102"/>
      <c r="Q39" s="206"/>
      <c r="R39" s="206"/>
    </row>
    <row r="40" spans="2:19" s="1" customFormat="1" ht="20.100000000000001" customHeight="1" x14ac:dyDescent="0.25">
      <c r="B40" s="102"/>
      <c r="C40" s="102"/>
      <c r="D40" s="102"/>
      <c r="E40" s="102"/>
      <c r="F40" s="102"/>
      <c r="G40" s="102"/>
      <c r="H40" s="102"/>
      <c r="I40" s="102"/>
      <c r="J40" s="102"/>
      <c r="K40" s="102"/>
      <c r="L40" s="102"/>
      <c r="M40" s="102"/>
      <c r="N40" s="102"/>
      <c r="O40" s="102"/>
      <c r="Q40" s="206"/>
      <c r="R40" s="206"/>
    </row>
    <row r="41" spans="2:19" s="1" customFormat="1" ht="11.25" customHeight="1" x14ac:dyDescent="0.25">
      <c r="B41" s="102"/>
      <c r="C41" s="102"/>
      <c r="D41" s="102"/>
      <c r="E41" s="102"/>
      <c r="F41" s="102"/>
      <c r="G41" s="102"/>
      <c r="H41" s="102"/>
      <c r="I41" s="102"/>
      <c r="J41" s="102"/>
      <c r="K41" s="102"/>
      <c r="L41" s="102"/>
      <c r="M41" s="102"/>
      <c r="N41" s="102"/>
      <c r="O41" s="102"/>
      <c r="Q41" s="206"/>
      <c r="R41" s="206"/>
    </row>
    <row r="42" spans="2:19" s="1" customFormat="1" ht="27.75" customHeight="1" thickBot="1" x14ac:dyDescent="0.4">
      <c r="B42" s="573" t="s">
        <v>1563</v>
      </c>
      <c r="C42" s="573"/>
      <c r="D42" s="573"/>
      <c r="E42" s="573"/>
      <c r="F42" s="465" t="s">
        <v>1454</v>
      </c>
      <c r="G42" s="102"/>
      <c r="H42" s="102"/>
      <c r="I42" s="102"/>
      <c r="J42" s="102"/>
      <c r="K42" s="102"/>
      <c r="L42" s="102"/>
      <c r="M42" s="102"/>
      <c r="N42" s="2"/>
      <c r="O42" s="2"/>
      <c r="P42" s="102"/>
      <c r="Q42" s="399"/>
      <c r="R42" s="206"/>
    </row>
    <row r="43" spans="2:19" s="1" customFormat="1" ht="20.100000000000001" customHeight="1" x14ac:dyDescent="0.25">
      <c r="B43" s="181"/>
      <c r="C43" s="182"/>
      <c r="D43" s="182"/>
      <c r="E43" s="182"/>
      <c r="F43" s="182"/>
      <c r="G43" s="182"/>
      <c r="H43" s="182"/>
      <c r="I43" s="182"/>
      <c r="J43" s="182"/>
      <c r="K43" s="182"/>
      <c r="L43" s="182"/>
      <c r="M43" s="183"/>
      <c r="N43" s="2"/>
      <c r="O43" s="2"/>
      <c r="Q43" s="206"/>
      <c r="R43" s="206"/>
    </row>
    <row r="44" spans="2:19" s="1" customFormat="1" ht="20.45" customHeight="1" x14ac:dyDescent="0.25">
      <c r="B44" s="184"/>
      <c r="C44" s="185"/>
      <c r="D44" s="185"/>
      <c r="E44" s="185"/>
      <c r="F44" s="185"/>
      <c r="G44" s="185"/>
      <c r="H44" s="185"/>
      <c r="I44" s="185"/>
      <c r="J44" s="185"/>
      <c r="K44" s="185"/>
      <c r="L44" s="185"/>
      <c r="M44" s="186"/>
      <c r="N44" s="2"/>
      <c r="O44" s="2"/>
      <c r="Q44" s="206"/>
      <c r="R44" s="206"/>
    </row>
    <row r="45" spans="2:19" s="1" customFormat="1" ht="15" customHeight="1" thickBot="1" x14ac:dyDescent="0.3">
      <c r="B45" s="184"/>
      <c r="C45" s="185"/>
      <c r="D45" s="185"/>
      <c r="E45" s="185"/>
      <c r="F45" s="185"/>
      <c r="G45" s="185"/>
      <c r="H45" s="185"/>
      <c r="I45" s="185"/>
      <c r="J45" s="185"/>
      <c r="K45" s="185"/>
      <c r="L45" s="185"/>
      <c r="M45" s="186"/>
      <c r="N45" s="2"/>
      <c r="O45" s="2"/>
      <c r="Q45" s="206"/>
      <c r="R45" s="206"/>
    </row>
    <row r="46" spans="2:19" s="1" customFormat="1" ht="39.75" thickBot="1" x14ac:dyDescent="0.3">
      <c r="B46" s="184"/>
      <c r="C46" s="185"/>
      <c r="D46" s="64" t="s">
        <v>766</v>
      </c>
      <c r="E46" s="64" t="s">
        <v>749</v>
      </c>
      <c r="F46" s="288" t="s">
        <v>1465</v>
      </c>
      <c r="G46" s="185"/>
      <c r="H46" s="185"/>
      <c r="I46" s="185"/>
      <c r="J46" s="185"/>
      <c r="K46" s="185"/>
      <c r="L46" s="185"/>
      <c r="M46" s="186"/>
      <c r="N46" s="2"/>
      <c r="O46" s="2"/>
      <c r="Q46" s="206"/>
      <c r="R46" s="206"/>
    </row>
    <row r="47" spans="2:19" s="1" customFormat="1" ht="22.5" customHeight="1" thickBot="1" x14ac:dyDescent="0.3">
      <c r="B47" s="184"/>
      <c r="C47" s="185"/>
      <c r="D47" s="347">
        <v>2015</v>
      </c>
      <c r="E47" s="348">
        <v>2015</v>
      </c>
      <c r="F47" s="200" t="str">
        <f>E47-D47&amp;" "&amp;"years"</f>
        <v>0 years</v>
      </c>
      <c r="G47" s="185"/>
      <c r="H47" s="185"/>
      <c r="I47" s="185"/>
      <c r="J47" s="185"/>
      <c r="K47" s="185"/>
      <c r="L47" s="185"/>
      <c r="M47" s="186"/>
      <c r="N47" s="2"/>
      <c r="O47" s="2"/>
      <c r="Q47" s="206"/>
      <c r="R47" s="206"/>
    </row>
    <row r="48" spans="2:19" s="1" customFormat="1" ht="35.25" customHeight="1" thickBot="1" x14ac:dyDescent="0.3">
      <c r="B48" s="184"/>
      <c r="C48" s="201" t="s">
        <v>1464</v>
      </c>
      <c r="D48" s="437">
        <f>SUMIF(Int_calc3!F:F,D47,Int_calc3!E:E)</f>
        <v>500</v>
      </c>
      <c r="E48" s="437">
        <f>SUMIF(Int_calc3!F:F,E47,Int_calc3!E:E)</f>
        <v>500</v>
      </c>
      <c r="F48" s="189">
        <f>D48-E48</f>
        <v>0</v>
      </c>
      <c r="G48" s="185"/>
      <c r="H48" s="185"/>
      <c r="I48" s="185"/>
      <c r="J48" s="185"/>
      <c r="K48" s="185"/>
      <c r="L48" s="185"/>
      <c r="M48" s="186"/>
      <c r="N48" s="2"/>
      <c r="O48" s="2"/>
      <c r="Q48" s="206"/>
      <c r="R48" s="206"/>
    </row>
    <row r="49" spans="1:18" s="1" customFormat="1" ht="35.25" customHeight="1" thickBot="1" x14ac:dyDescent="0.3">
      <c r="B49" s="184"/>
      <c r="C49" s="201" t="s">
        <v>1440</v>
      </c>
      <c r="D49" s="189">
        <f>(SUMPRODUCT(--(Int_calc3!F:F=$D$47),Int_calc3!D:D,Int_calc3!H:H)+SUMPRODUCT(--(Int_calc3!F:F=$D$47),Int_calc3!D:D,Int_calc3!I:I)+SUMPRODUCT(--(Int_calc3!F:F=$D$47),Int_calc3!D:D,Int_calc3!J:J)+SUMPRODUCT(--(Int_calc3!F:F=$D$47),Int_calc3!D:D,Int_calc3!K:K))*D48</f>
        <v>144874.60314336984</v>
      </c>
      <c r="E49" s="189">
        <f>(SUMPRODUCT(--(Int_calc3!F:F=E47),Int_calc3!D:D,Int_calc3!J:J)+SUMPRODUCT(--(Int_calc3!F:F=E47),Int_calc3!D:D,Int_calc3!K:K)+SUMPRODUCT(--(Int_calc3!F:F=E47),Int_calc3!D:D,Int_calc3!H:H)+SUMPRODUCT(--(Int_calc3!F:F=E47),Int_calc3!D:D,Int_calc3!I:I))*E48</f>
        <v>144874.60314336987</v>
      </c>
      <c r="F49" s="189">
        <f>E49-D49</f>
        <v>0</v>
      </c>
      <c r="G49" s="185"/>
      <c r="H49" s="185"/>
      <c r="I49" s="185"/>
      <c r="J49" s="185"/>
      <c r="K49" s="185"/>
      <c r="L49" s="185"/>
      <c r="M49" s="186"/>
      <c r="N49" s="2"/>
      <c r="O49" s="2"/>
      <c r="Q49" s="206"/>
      <c r="R49" s="206"/>
    </row>
    <row r="50" spans="1:18" s="1" customFormat="1" ht="35.25" customHeight="1" x14ac:dyDescent="0.25">
      <c r="B50" s="184"/>
      <c r="C50" s="185"/>
      <c r="D50" s="185"/>
      <c r="E50" s="185"/>
      <c r="F50" s="185"/>
      <c r="G50" s="185"/>
      <c r="H50" s="185"/>
      <c r="I50" s="185"/>
      <c r="J50" s="185"/>
      <c r="K50" s="185"/>
      <c r="L50" s="185"/>
      <c r="M50" s="186"/>
      <c r="N50" s="2"/>
      <c r="O50" s="2"/>
      <c r="Q50" s="206"/>
      <c r="R50" s="206"/>
    </row>
    <row r="51" spans="1:18" s="1" customFormat="1" ht="15" customHeight="1" x14ac:dyDescent="0.25">
      <c r="B51" s="184"/>
      <c r="C51" s="185"/>
      <c r="D51" s="185"/>
      <c r="E51" s="185"/>
      <c r="F51" s="185"/>
      <c r="G51" s="185"/>
      <c r="H51" s="185"/>
      <c r="I51" s="185"/>
      <c r="J51" s="185"/>
      <c r="K51" s="185"/>
      <c r="L51" s="185"/>
      <c r="M51" s="186"/>
      <c r="N51" s="2"/>
      <c r="O51" s="2"/>
      <c r="Q51" s="206"/>
      <c r="R51" s="206"/>
    </row>
    <row r="52" spans="1:18" s="1" customFormat="1" ht="15.75" thickBot="1" x14ac:dyDescent="0.3">
      <c r="B52" s="194"/>
      <c r="C52" s="195"/>
      <c r="D52" s="195"/>
      <c r="E52" s="195"/>
      <c r="F52" s="195"/>
      <c r="G52" s="195"/>
      <c r="H52" s="195"/>
      <c r="I52" s="195"/>
      <c r="J52" s="195"/>
      <c r="K52" s="195"/>
      <c r="L52" s="195"/>
      <c r="M52" s="196"/>
      <c r="N52" s="2"/>
      <c r="O52" s="2"/>
      <c r="Q52" s="206"/>
      <c r="R52" s="206"/>
    </row>
    <row r="53" spans="1:18" ht="21.75" thickBot="1" x14ac:dyDescent="0.4">
      <c r="F53" s="465" t="s">
        <v>1454</v>
      </c>
      <c r="N53" s="3"/>
      <c r="O53" s="3"/>
    </row>
    <row r="54" spans="1:18" ht="21.75" thickBot="1" x14ac:dyDescent="0.3">
      <c r="A54" s="2"/>
      <c r="B54" s="2"/>
      <c r="C54" s="345" t="s">
        <v>15</v>
      </c>
      <c r="D54" s="346">
        <v>2015</v>
      </c>
      <c r="E54" s="2"/>
      <c r="F54" s="2"/>
      <c r="G54" s="2"/>
      <c r="H54" s="2"/>
      <c r="I54" s="2"/>
      <c r="J54" s="2"/>
      <c r="K54" s="2"/>
    </row>
    <row r="55" spans="1:18" ht="50.25" customHeight="1" thickBot="1" x14ac:dyDescent="0.3">
      <c r="A55" s="2"/>
      <c r="B55" s="2"/>
      <c r="C55" s="324" t="s">
        <v>0</v>
      </c>
      <c r="D55" s="66" t="s">
        <v>1524</v>
      </c>
      <c r="E55" s="66" t="s">
        <v>1525</v>
      </c>
      <c r="F55" s="66" t="s">
        <v>1526</v>
      </c>
      <c r="G55" s="66" t="s">
        <v>1527</v>
      </c>
      <c r="H55" s="66" t="s">
        <v>1462</v>
      </c>
      <c r="I55" s="344" t="s">
        <v>1463</v>
      </c>
      <c r="J55" s="2"/>
      <c r="K55" s="102"/>
      <c r="L55" s="343"/>
    </row>
    <row r="56" spans="1:18" s="314" customFormat="1" x14ac:dyDescent="0.25">
      <c r="A56" s="2"/>
      <c r="B56" s="2"/>
      <c r="C56" s="388" t="s">
        <v>1583</v>
      </c>
      <c r="D56" s="385">
        <f>IFERROR(IF(C56="Test","",GETPIVOTDATA(" Carbon stocks density of trees (t CO2e ha-1)",Int_calc3!$A$4,"Year",$D$54,"Stratum",results_tbl[[#This Row],[Stratum]])),"")</f>
        <v>403.14999795318715</v>
      </c>
      <c r="E56" s="385">
        <f>IFERROR(IF(C56="Test","",GETPIVOTDATA(" Carbon stocks density of shrubs (t CO2e ha-1)",Int_calc3!$A$4,"Year",$D$54,"Stratum",results_tbl[[#This Row],[Stratum]])),"")</f>
        <v>25.85</v>
      </c>
      <c r="F56" s="385">
        <f>IFERROR(IF(C56="Test","",GETPIVOTDATA(" Carbon stocks density of dead wood (t CO2e ha-1)",Int_calc3!$A$4,"Year",$D$54,"Stratum",results_tbl[[#This Row],[Stratum]])),"")</f>
        <v>8.0629999590637436</v>
      </c>
      <c r="G56" s="385">
        <f>IFERROR(IF(C56="Test","",GETPIVOTDATA("  Carbon stocks density of litter (t CO2e ha-1)",Int_calc3!$A$4,"Year",$D$54,"Stratum",results_tbl[[#This Row],[Stratum]])),"")</f>
        <v>16.125999918127487</v>
      </c>
      <c r="H56" s="385">
        <f>IFERROR(IF(C56="Test","",GETPIVOTDATA("Sum of Stratum area (ha)",Int_calc3!$A$4,"Year",$D$54,"Stratum",results_tbl[[#This Row],[Stratum]])),"")</f>
        <v>200</v>
      </c>
      <c r="I56" s="386">
        <f t="shared" ref="I56:I58" si="0">IF(H56&lt;&gt;"",H56*(SUM(D56:G56)),"")</f>
        <v>90637.799566075686</v>
      </c>
      <c r="J56" s="2"/>
      <c r="K56" s="102"/>
      <c r="L56" s="323"/>
      <c r="Q56" s="206"/>
      <c r="R56" s="206"/>
    </row>
    <row r="57" spans="1:18" x14ac:dyDescent="0.25">
      <c r="C57" s="388" t="s">
        <v>1512</v>
      </c>
      <c r="D57" s="385">
        <f>IFERROR(IF(C57="Test","",GETPIVOTDATA(" Carbon stocks density of trees (t CO2e ha-1)",Int_calc3!$A$4,"Year",$D$54,"Stratum",results_tbl[[#This Row],[Stratum]])),"")</f>
        <v>122.69345312985877</v>
      </c>
      <c r="E57" s="385">
        <f>IFERROR(IF(C57="Test","",GETPIVOTDATA(" Carbon stocks density of shrubs (t CO2e ha-1)",Int_calc3!$A$4,"Year",$D$54,"Stratum",results_tbl[[#This Row],[Stratum]])),"")</f>
        <v>25.85</v>
      </c>
      <c r="F57" s="385">
        <f>IFERROR(IF(C57="Test","",GETPIVOTDATA(" Carbon stocks density of dead wood (t CO2e ha-1)",Int_calc3!$A$4,"Year",$D$54,"Stratum",results_tbl[[#This Row],[Stratum]])),"")</f>
        <v>2.4538690625971755</v>
      </c>
      <c r="G57" s="385">
        <f>IFERROR(IF(C57="Test","",GETPIVOTDATA("  Carbon stocks density of litter (t CO2e ha-1)",Int_calc3!$A$4,"Year",$D$54,"Stratum",results_tbl[[#This Row],[Stratum]])),"")</f>
        <v>4.907738125194351</v>
      </c>
      <c r="H57" s="385">
        <f>IFERROR(IF(C57="Test","",GETPIVOTDATA("Sum of Stratum area (ha)",Int_calc3!$A$4,"Year",$D$54,"Stratum",results_tbl[[#This Row],[Stratum]])),"")</f>
        <v>200</v>
      </c>
      <c r="I57" s="386">
        <f t="shared" si="0"/>
        <v>31181.012063530055</v>
      </c>
    </row>
    <row r="58" spans="1:18" x14ac:dyDescent="0.25">
      <c r="C58" s="388" t="s">
        <v>1514</v>
      </c>
      <c r="D58" s="385">
        <f>IFERROR(IF(C58="Test","",GETPIVOTDATA(" Carbon stocks density of trees (t CO2e ha-1)",Int_calc3!$A$4,"Year",$D$54,"Stratum",results_tbl[[#This Row],[Stratum]])),"")</f>
        <v>200.69403444866768</v>
      </c>
      <c r="E58" s="385">
        <f>IFERROR(IF(C58="Test","",GETPIVOTDATA(" Carbon stocks density of shrubs (t CO2e ha-1)",Int_calc3!$A$4,"Year",$D$54,"Stratum",results_tbl[[#This Row],[Stratum]])),"")</f>
        <v>25.85</v>
      </c>
      <c r="F58" s="385">
        <f>IFERROR(IF(C58="Test","",GETPIVOTDATA(" Carbon stocks density of dead wood (t CO2e ha-1)",Int_calc3!$A$4,"Year",$D$54,"Stratum",results_tbl[[#This Row],[Stratum]])),"")</f>
        <v>2.0069403444866767</v>
      </c>
      <c r="G58" s="385">
        <f>IFERROR(IF(C58="Test","",GETPIVOTDATA("  Carbon stocks density of litter (t CO2e ha-1)",Int_calc3!$A$4,"Year",$D$54,"Stratum",results_tbl[[#This Row],[Stratum]])),"")</f>
        <v>2.0069403444866767</v>
      </c>
      <c r="H58" s="385">
        <f>IFERROR(IF(C58="Test","",GETPIVOTDATA("Sum of Stratum area (ha)",Int_calc3!$A$4,"Year",$D$54,"Stratum",results_tbl[[#This Row],[Stratum]])),"")</f>
        <v>100</v>
      </c>
      <c r="I58" s="386">
        <f t="shared" si="0"/>
        <v>23055.791513764103</v>
      </c>
    </row>
  </sheetData>
  <dataConsolidate/>
  <mergeCells count="10">
    <mergeCell ref="K22:K23"/>
    <mergeCell ref="L22:L23"/>
    <mergeCell ref="L25:L26"/>
    <mergeCell ref="K25:K26"/>
    <mergeCell ref="B16:I16"/>
    <mergeCell ref="B3:D3"/>
    <mergeCell ref="B18:D18"/>
    <mergeCell ref="B42:E42"/>
    <mergeCell ref="C26:C27"/>
    <mergeCell ref="D26:D27"/>
  </mergeCells>
  <dataValidations count="3">
    <dataValidation type="list" allowBlank="1" showInputMessage="1" showErrorMessage="1" sqref="D47:E47 D20 D54" xr:uid="{00000000-0002-0000-0A00-000000000000}">
      <formula1>unique_year</formula1>
    </dataValidation>
    <dataValidation allowBlank="1" showInputMessage="1" showErrorMessage="1" prompt="Total annual GHG emissions for entire FMU area " sqref="K22:K23" xr:uid="{00000000-0002-0000-0A00-000001000000}"/>
    <dataValidation allowBlank="1" showInputMessage="1" showErrorMessage="1" prompt="Total GHG emissions for all strata with fertilizer applications " sqref="K25:K26" xr:uid="{00000000-0002-0000-0A00-000002000000}"/>
  </dataValidations>
  <pageMargins left="0.7" right="0.7" top="0.75" bottom="0.75" header="0.3" footer="0.3"/>
  <pageSetup paperSize="9" orientation="portrait" r:id="rId1"/>
  <ignoredErrors>
    <ignoredError sqref="F48" formula="1"/>
  </ignoredErrors>
  <drawing r:id="rId2"/>
  <tableParts count="1">
    <tablePart r:id="rId3"/>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Hoja9"/>
  <dimension ref="B1:M150"/>
  <sheetViews>
    <sheetView showGridLines="0" zoomScaleNormal="100" workbookViewId="0">
      <pane ySplit="1" topLeftCell="A2" activePane="bottomLeft" state="frozen"/>
      <selection pane="bottomLeft" activeCell="A2" sqref="A2"/>
    </sheetView>
  </sheetViews>
  <sheetFormatPr defaultColWidth="11.42578125" defaultRowHeight="15" x14ac:dyDescent="0.25"/>
  <cols>
    <col min="1" max="1" width="5.42578125" style="52" customWidth="1"/>
    <col min="2" max="2" width="11.42578125" style="52"/>
    <col min="3" max="3" width="18.85546875" style="52" customWidth="1"/>
    <col min="4" max="4" width="16.42578125" style="52" bestFit="1" customWidth="1"/>
    <col min="5" max="5" width="16" style="52" bestFit="1" customWidth="1"/>
    <col min="6" max="6" width="17" style="52" customWidth="1"/>
    <col min="7" max="7" width="16" style="52" customWidth="1"/>
    <col min="8" max="8" width="17.42578125" style="52" customWidth="1"/>
    <col min="9" max="9" width="3.85546875" style="52" customWidth="1"/>
    <col min="10" max="10" width="3.42578125" style="52" customWidth="1"/>
    <col min="11" max="12" width="16.42578125" style="52" customWidth="1"/>
    <col min="13" max="13" width="3.28515625" style="52" customWidth="1"/>
    <col min="14" max="16384" width="11.42578125" style="52"/>
  </cols>
  <sheetData>
    <row r="1" spans="2:13" s="51" customFormat="1" ht="120" customHeight="1" x14ac:dyDescent="0.25"/>
    <row r="2" spans="2:13" ht="12" customHeight="1" x14ac:dyDescent="0.25"/>
    <row r="3" spans="2:13" ht="18.75" x14ac:dyDescent="0.3">
      <c r="B3" s="8" t="s">
        <v>1564</v>
      </c>
    </row>
    <row r="5" spans="2:13" ht="12" customHeight="1" thickBot="1" x14ac:dyDescent="0.3"/>
    <row r="6" spans="2:13" ht="43.5" customHeight="1" x14ac:dyDescent="0.3">
      <c r="B6" s="587" t="str">
        <f>IF(Accuracy!E17="Yes","To simulate future carbon stock changes, please select the number of growth models and strata you want to analyse.","According to the selection in the 'scope of assessment' tab, simulation is not selected; you can ignore all sheets in this tool concerning simulation.")</f>
        <v>To simulate future carbon stock changes, please select the number of growth models and strata you want to analyse.</v>
      </c>
      <c r="C6" s="588"/>
      <c r="D6" s="588"/>
      <c r="E6" s="588"/>
      <c r="F6" s="588"/>
      <c r="G6" s="588"/>
      <c r="H6" s="589"/>
    </row>
    <row r="7" spans="2:13" ht="43.5" customHeight="1" thickBot="1" x14ac:dyDescent="0.3">
      <c r="B7" s="590" t="str">
        <f>IF(Accuracy!E17="Yes","Please note that these strata should already exist in the inventory data sheet.","If you want to perform a simulation, correct the 'scope of assessment' tab accordingly and return to this tab")</f>
        <v>Please note that these strata should already exist in the inventory data sheet.</v>
      </c>
      <c r="C7" s="591"/>
      <c r="D7" s="591"/>
      <c r="E7" s="591"/>
      <c r="F7" s="591"/>
      <c r="G7" s="591"/>
      <c r="H7" s="592"/>
    </row>
    <row r="11" spans="2:13" ht="23.25" x14ac:dyDescent="0.35">
      <c r="B11" s="222"/>
      <c r="C11" s="222"/>
      <c r="D11" s="222"/>
      <c r="E11" s="222"/>
      <c r="F11" s="222"/>
      <c r="G11" s="222"/>
      <c r="H11" s="222"/>
      <c r="J11" s="453"/>
      <c r="K11" s="222"/>
      <c r="L11" s="222"/>
      <c r="M11" s="222"/>
    </row>
    <row r="12" spans="2:13" ht="87.75" customHeight="1" x14ac:dyDescent="0.3">
      <c r="B12" s="222"/>
      <c r="C12" s="594" t="s">
        <v>1576</v>
      </c>
      <c r="D12" s="594"/>
      <c r="E12" s="594"/>
      <c r="F12" s="594"/>
      <c r="G12" s="594"/>
      <c r="H12" s="222"/>
      <c r="J12" s="222"/>
      <c r="K12" s="593"/>
      <c r="L12" s="593"/>
      <c r="M12" s="223"/>
    </row>
    <row r="13" spans="2:13" ht="15.75" customHeight="1" x14ac:dyDescent="0.25">
      <c r="B13" s="222"/>
      <c r="C13" s="452"/>
      <c r="D13" s="595"/>
      <c r="E13" s="595"/>
      <c r="F13" s="595"/>
      <c r="G13" s="455"/>
      <c r="H13" s="222"/>
      <c r="J13" s="224"/>
      <c r="K13" s="593"/>
      <c r="L13" s="593"/>
      <c r="M13" s="223"/>
    </row>
    <row r="14" spans="2:13" ht="23.1" customHeight="1" x14ac:dyDescent="0.25">
      <c r="B14" s="222"/>
      <c r="C14" s="596" t="s">
        <v>1474</v>
      </c>
      <c r="D14" s="596"/>
      <c r="E14" s="596"/>
      <c r="F14" s="458">
        <v>5</v>
      </c>
      <c r="G14" s="456" t="e">
        <f>ROWS(models_tbl)</f>
        <v>#NAME?</v>
      </c>
      <c r="H14" s="222"/>
      <c r="J14" s="224"/>
      <c r="K14" s="593"/>
      <c r="L14" s="593"/>
      <c r="M14" s="223"/>
    </row>
    <row r="15" spans="2:13" ht="30.75" customHeight="1" x14ac:dyDescent="0.25">
      <c r="B15" s="222"/>
      <c r="C15" s="459" t="s">
        <v>1443</v>
      </c>
      <c r="D15" s="459" t="s">
        <v>0</v>
      </c>
      <c r="E15" s="459" t="s">
        <v>1</v>
      </c>
      <c r="F15" s="459" t="s">
        <v>1475</v>
      </c>
      <c r="G15" s="457" t="s">
        <v>1483</v>
      </c>
      <c r="H15" s="222"/>
      <c r="J15" s="224"/>
      <c r="K15" s="593"/>
      <c r="L15" s="593"/>
      <c r="M15" s="223"/>
    </row>
    <row r="16" spans="2:13" ht="14.45" customHeight="1" x14ac:dyDescent="0.25">
      <c r="B16" s="222"/>
      <c r="C16" s="448">
        <v>1</v>
      </c>
      <c r="D16" s="448" t="s">
        <v>1512</v>
      </c>
      <c r="E16" s="448" t="s">
        <v>280</v>
      </c>
      <c r="F16" s="448">
        <v>10</v>
      </c>
      <c r="G16" s="457">
        <f t="array" ref="G16">IF(C16&lt;&gt;"",IFERROR(INDEX(Inventory_data!$O$20:$O$22,MATCH(D16&amp;E16,(Inventory_data!$D$20:$D$22&amp;Inventory_data!$E$20:$E$22),0)),""),"")</f>
        <v>200</v>
      </c>
      <c r="H16" s="222"/>
      <c r="J16" s="224"/>
      <c r="K16" s="593"/>
      <c r="L16" s="593"/>
      <c r="M16" s="223"/>
    </row>
    <row r="17" spans="2:13" ht="17.25" customHeight="1" x14ac:dyDescent="0.25">
      <c r="B17" s="222"/>
      <c r="C17" s="479">
        <v>2</v>
      </c>
      <c r="D17" s="479"/>
      <c r="E17" s="479"/>
      <c r="F17" s="479"/>
      <c r="G17" s="457" t="str">
        <f t="array" ref="G17">IF(C17&lt;&gt;"",IFERROR(INDEX(Inventory_data!$O$20:$O$22,MATCH(D17&amp;E17,(Inventory_data!$D$20:$D$22&amp;Inventory_data!$E$20:$E$22),0)),""),"")</f>
        <v/>
      </c>
      <c r="H17" s="222"/>
      <c r="J17" s="225"/>
      <c r="K17" s="593"/>
      <c r="L17" s="593"/>
      <c r="M17" s="223"/>
    </row>
    <row r="18" spans="2:13" ht="19.5" customHeight="1" x14ac:dyDescent="0.25">
      <c r="B18" s="222"/>
      <c r="C18" s="479">
        <v>3</v>
      </c>
      <c r="D18" s="479"/>
      <c r="E18" s="479"/>
      <c r="F18" s="479"/>
      <c r="G18" s="457" t="str">
        <f t="array" ref="G18">IF(C18&lt;&gt;"",IFERROR(INDEX(Inventory_data!$O$20:$O$22,MATCH(D18&amp;E18,(Inventory_data!$D$20:$D$22&amp;Inventory_data!$E$20:$E$22),0)),""),"")</f>
        <v/>
      </c>
      <c r="H18" s="222"/>
      <c r="J18" s="226"/>
      <c r="K18" s="593"/>
      <c r="L18" s="593"/>
      <c r="M18" s="223"/>
    </row>
    <row r="19" spans="2:13" ht="18.95" customHeight="1" x14ac:dyDescent="0.3">
      <c r="B19" s="222"/>
      <c r="C19" s="479">
        <v>4</v>
      </c>
      <c r="D19" s="479"/>
      <c r="E19" s="479"/>
      <c r="F19" s="479"/>
      <c r="G19" s="457" t="str">
        <f t="array" ref="G19">IF(C19&lt;&gt;"",IFERROR(INDEX(Inventory_data!$O$20:$O$22,MATCH(D19&amp;E19,(Inventory_data!$D$20:$D$22&amp;Inventory_data!$E$20:$E$22),0)),""),"")</f>
        <v/>
      </c>
      <c r="H19" s="222"/>
      <c r="J19" s="226"/>
      <c r="K19" s="593"/>
      <c r="L19" s="593"/>
      <c r="M19" s="454"/>
    </row>
    <row r="20" spans="2:13" ht="15.75" customHeight="1" x14ac:dyDescent="0.3">
      <c r="B20" s="222"/>
      <c r="C20" s="479">
        <v>5</v>
      </c>
      <c r="D20" s="479"/>
      <c r="E20" s="479"/>
      <c r="F20" s="479"/>
      <c r="G20" s="457" t="str">
        <f t="array" ref="G20">IF(C20&lt;&gt;"",IFERROR(INDEX(Inventory_data!$O$20:$O$22,MATCH(D20&amp;E20,(Inventory_data!$D$20:$D$22&amp;Inventory_data!$E$20:$E$22),0)),""),"")</f>
        <v/>
      </c>
      <c r="H20" s="222"/>
      <c r="J20" s="224"/>
      <c r="K20" s="593"/>
      <c r="L20" s="593"/>
      <c r="M20" s="454"/>
    </row>
    <row r="21" spans="2:13" ht="16.5" customHeight="1" x14ac:dyDescent="0.3">
      <c r="B21" s="222"/>
      <c r="H21" s="222"/>
      <c r="J21" s="224"/>
      <c r="K21" s="593"/>
      <c r="L21" s="593"/>
      <c r="M21" s="454"/>
    </row>
    <row r="22" spans="2:13" ht="15" customHeight="1" x14ac:dyDescent="0.25">
      <c r="B22" s="222"/>
      <c r="H22" s="222"/>
      <c r="J22" s="222"/>
      <c r="K22" s="222"/>
      <c r="L22" s="222"/>
      <c r="M22" s="222"/>
    </row>
    <row r="23" spans="2:13" x14ac:dyDescent="0.25">
      <c r="B23" s="49"/>
      <c r="H23" s="49"/>
    </row>
    <row r="24" spans="2:13" x14ac:dyDescent="0.25">
      <c r="B24" s="49"/>
      <c r="H24" s="49"/>
    </row>
    <row r="25" spans="2:13" x14ac:dyDescent="0.25">
      <c r="B25" s="49"/>
      <c r="H25" s="49"/>
    </row>
    <row r="26" spans="2:13" x14ac:dyDescent="0.25">
      <c r="B26" s="49"/>
      <c r="H26" s="49"/>
    </row>
    <row r="27" spans="2:13" x14ac:dyDescent="0.25">
      <c r="B27" s="49"/>
      <c r="H27" s="49"/>
    </row>
    <row r="28" spans="2:13" x14ac:dyDescent="0.25">
      <c r="B28" s="49"/>
      <c r="H28" s="49"/>
    </row>
    <row r="29" spans="2:13" x14ac:dyDescent="0.25">
      <c r="B29" s="49"/>
      <c r="H29" s="49"/>
    </row>
    <row r="30" spans="2:13" x14ac:dyDescent="0.25">
      <c r="B30" s="49"/>
      <c r="H30" s="49"/>
    </row>
    <row r="31" spans="2:13" x14ac:dyDescent="0.25">
      <c r="B31" s="49"/>
      <c r="H31" s="49"/>
    </row>
    <row r="32" spans="2:13" x14ac:dyDescent="0.25">
      <c r="B32" s="49"/>
      <c r="H32" s="49"/>
    </row>
    <row r="33" spans="2:8" x14ac:dyDescent="0.25">
      <c r="B33" s="49"/>
      <c r="H33" s="49"/>
    </row>
    <row r="34" spans="2:8" x14ac:dyDescent="0.25">
      <c r="B34" s="49"/>
      <c r="H34" s="49"/>
    </row>
    <row r="35" spans="2:8" x14ac:dyDescent="0.25">
      <c r="B35" s="49"/>
      <c r="H35" s="49"/>
    </row>
    <row r="36" spans="2:8" x14ac:dyDescent="0.25">
      <c r="B36" s="49"/>
      <c r="H36" s="49"/>
    </row>
    <row r="37" spans="2:8" x14ac:dyDescent="0.25">
      <c r="B37" s="49"/>
      <c r="H37" s="49"/>
    </row>
    <row r="38" spans="2:8" x14ac:dyDescent="0.25">
      <c r="B38" s="49"/>
      <c r="H38" s="49"/>
    </row>
    <row r="39" spans="2:8" x14ac:dyDescent="0.25">
      <c r="B39" s="49"/>
      <c r="H39" s="49"/>
    </row>
    <row r="40" spans="2:8" x14ac:dyDescent="0.25">
      <c r="B40" s="49"/>
      <c r="H40" s="49"/>
    </row>
    <row r="41" spans="2:8" x14ac:dyDescent="0.25">
      <c r="B41" s="49"/>
      <c r="H41" s="49"/>
    </row>
    <row r="42" spans="2:8" x14ac:dyDescent="0.25">
      <c r="B42" s="49"/>
      <c r="H42" s="49"/>
    </row>
    <row r="43" spans="2:8" x14ac:dyDescent="0.25">
      <c r="B43" s="49"/>
      <c r="H43" s="49"/>
    </row>
    <row r="44" spans="2:8" x14ac:dyDescent="0.25">
      <c r="B44" s="49"/>
      <c r="H44" s="49"/>
    </row>
    <row r="45" spans="2:8" x14ac:dyDescent="0.25">
      <c r="B45" s="49"/>
      <c r="H45" s="49"/>
    </row>
    <row r="46" spans="2:8" x14ac:dyDescent="0.25">
      <c r="B46" s="49"/>
      <c r="H46" s="49"/>
    </row>
    <row r="47" spans="2:8" x14ac:dyDescent="0.25">
      <c r="B47" s="49"/>
      <c r="H47" s="49"/>
    </row>
    <row r="48" spans="2:8" x14ac:dyDescent="0.25">
      <c r="B48" s="49"/>
      <c r="H48" s="49"/>
    </row>
    <row r="49" spans="2:8" x14ac:dyDescent="0.25">
      <c r="B49" s="49"/>
      <c r="H49" s="49"/>
    </row>
    <row r="50" spans="2:8" x14ac:dyDescent="0.25">
      <c r="B50" s="49"/>
      <c r="H50" s="49"/>
    </row>
    <row r="51" spans="2:8" x14ac:dyDescent="0.25">
      <c r="B51" s="49"/>
      <c r="H51" s="49"/>
    </row>
    <row r="52" spans="2:8" x14ac:dyDescent="0.25">
      <c r="B52" s="49"/>
      <c r="H52" s="49"/>
    </row>
    <row r="53" spans="2:8" x14ac:dyDescent="0.25">
      <c r="B53" s="49"/>
      <c r="H53" s="49"/>
    </row>
    <row r="54" spans="2:8" x14ac:dyDescent="0.25">
      <c r="B54" s="49"/>
      <c r="H54" s="49"/>
    </row>
    <row r="55" spans="2:8" x14ac:dyDescent="0.25">
      <c r="B55" s="49"/>
      <c r="H55" s="49"/>
    </row>
    <row r="56" spans="2:8" x14ac:dyDescent="0.25">
      <c r="B56" s="49"/>
      <c r="H56" s="49"/>
    </row>
    <row r="57" spans="2:8" x14ac:dyDescent="0.25">
      <c r="B57" s="49"/>
      <c r="H57" s="49"/>
    </row>
    <row r="58" spans="2:8" x14ac:dyDescent="0.25">
      <c r="B58" s="49"/>
      <c r="H58" s="49"/>
    </row>
    <row r="59" spans="2:8" x14ac:dyDescent="0.25">
      <c r="B59" s="49"/>
      <c r="H59" s="49"/>
    </row>
    <row r="60" spans="2:8" x14ac:dyDescent="0.25">
      <c r="B60" s="49"/>
      <c r="H60" s="49"/>
    </row>
    <row r="61" spans="2:8" x14ac:dyDescent="0.25">
      <c r="B61" s="49"/>
      <c r="H61" s="49"/>
    </row>
    <row r="62" spans="2:8" x14ac:dyDescent="0.25">
      <c r="B62" s="49"/>
      <c r="H62" s="49"/>
    </row>
    <row r="63" spans="2:8" x14ac:dyDescent="0.25">
      <c r="B63" s="49"/>
      <c r="H63" s="49"/>
    </row>
    <row r="64" spans="2:8" x14ac:dyDescent="0.25">
      <c r="B64" s="49"/>
      <c r="H64" s="49"/>
    </row>
    <row r="65" spans="2:8" x14ac:dyDescent="0.25">
      <c r="B65" s="49"/>
      <c r="H65" s="49"/>
    </row>
    <row r="66" spans="2:8" x14ac:dyDescent="0.25">
      <c r="B66" s="49"/>
      <c r="H66" s="49"/>
    </row>
    <row r="67" spans="2:8" x14ac:dyDescent="0.25">
      <c r="B67" s="49"/>
      <c r="H67" s="49"/>
    </row>
    <row r="68" spans="2:8" x14ac:dyDescent="0.25">
      <c r="B68" s="49"/>
      <c r="H68" s="49"/>
    </row>
    <row r="69" spans="2:8" x14ac:dyDescent="0.25">
      <c r="B69" s="49"/>
      <c r="H69" s="49"/>
    </row>
    <row r="70" spans="2:8" x14ac:dyDescent="0.25">
      <c r="B70" s="49"/>
      <c r="H70" s="49"/>
    </row>
    <row r="71" spans="2:8" x14ac:dyDescent="0.25">
      <c r="B71" s="49"/>
      <c r="H71" s="49"/>
    </row>
    <row r="72" spans="2:8" x14ac:dyDescent="0.25">
      <c r="B72" s="49"/>
      <c r="H72" s="49"/>
    </row>
    <row r="73" spans="2:8" x14ac:dyDescent="0.25">
      <c r="B73" s="49"/>
      <c r="H73" s="49"/>
    </row>
    <row r="74" spans="2:8" x14ac:dyDescent="0.25">
      <c r="B74" s="49"/>
      <c r="H74" s="49"/>
    </row>
    <row r="75" spans="2:8" x14ac:dyDescent="0.25">
      <c r="B75" s="49"/>
      <c r="H75" s="49"/>
    </row>
    <row r="76" spans="2:8" x14ac:dyDescent="0.25">
      <c r="B76" s="49"/>
      <c r="H76" s="49"/>
    </row>
    <row r="77" spans="2:8" x14ac:dyDescent="0.25">
      <c r="B77" s="49"/>
      <c r="H77" s="49"/>
    </row>
    <row r="78" spans="2:8" x14ac:dyDescent="0.25">
      <c r="B78" s="49"/>
      <c r="H78" s="49"/>
    </row>
    <row r="79" spans="2:8" x14ac:dyDescent="0.25">
      <c r="B79" s="49"/>
      <c r="H79" s="49"/>
    </row>
    <row r="80" spans="2:8" x14ac:dyDescent="0.25">
      <c r="B80" s="49"/>
      <c r="H80" s="49"/>
    </row>
    <row r="81" spans="2:8" x14ac:dyDescent="0.25">
      <c r="B81" s="49"/>
      <c r="H81" s="49"/>
    </row>
    <row r="82" spans="2:8" x14ac:dyDescent="0.25">
      <c r="B82" s="49"/>
      <c r="H82" s="49"/>
    </row>
    <row r="83" spans="2:8" x14ac:dyDescent="0.25">
      <c r="B83" s="49"/>
      <c r="H83" s="49"/>
    </row>
    <row r="84" spans="2:8" x14ac:dyDescent="0.25">
      <c r="B84" s="49"/>
      <c r="H84" s="49"/>
    </row>
    <row r="85" spans="2:8" x14ac:dyDescent="0.25">
      <c r="B85" s="49"/>
      <c r="H85" s="49"/>
    </row>
    <row r="86" spans="2:8" x14ac:dyDescent="0.25">
      <c r="B86" s="49"/>
      <c r="H86" s="49"/>
    </row>
    <row r="87" spans="2:8" x14ac:dyDescent="0.25">
      <c r="B87" s="49"/>
      <c r="H87" s="49"/>
    </row>
    <row r="88" spans="2:8" x14ac:dyDescent="0.25">
      <c r="B88" s="49"/>
      <c r="H88" s="49"/>
    </row>
    <row r="89" spans="2:8" x14ac:dyDescent="0.25">
      <c r="B89" s="49"/>
      <c r="H89" s="49"/>
    </row>
    <row r="90" spans="2:8" x14ac:dyDescent="0.25">
      <c r="B90" s="49"/>
      <c r="H90" s="49"/>
    </row>
    <row r="91" spans="2:8" x14ac:dyDescent="0.25">
      <c r="B91" s="49"/>
      <c r="H91" s="49"/>
    </row>
    <row r="92" spans="2:8" x14ac:dyDescent="0.25">
      <c r="B92" s="49"/>
      <c r="H92" s="49"/>
    </row>
    <row r="93" spans="2:8" x14ac:dyDescent="0.25">
      <c r="B93" s="49"/>
      <c r="H93" s="49"/>
    </row>
    <row r="94" spans="2:8" x14ac:dyDescent="0.25">
      <c r="B94" s="49"/>
      <c r="H94" s="49"/>
    </row>
    <row r="95" spans="2:8" x14ac:dyDescent="0.25">
      <c r="B95" s="49"/>
      <c r="H95" s="49"/>
    </row>
    <row r="96" spans="2:8" x14ac:dyDescent="0.25">
      <c r="B96" s="49"/>
      <c r="H96" s="49"/>
    </row>
    <row r="97" spans="2:8" x14ac:dyDescent="0.25">
      <c r="B97" s="49"/>
      <c r="H97" s="49"/>
    </row>
    <row r="98" spans="2:8" x14ac:dyDescent="0.25">
      <c r="B98" s="49"/>
      <c r="H98" s="49"/>
    </row>
    <row r="99" spans="2:8" x14ac:dyDescent="0.25">
      <c r="B99" s="49"/>
      <c r="H99" s="49"/>
    </row>
    <row r="100" spans="2:8" x14ac:dyDescent="0.25">
      <c r="B100" s="49"/>
      <c r="H100" s="49"/>
    </row>
    <row r="101" spans="2:8" x14ac:dyDescent="0.25">
      <c r="B101" s="49"/>
      <c r="H101" s="49"/>
    </row>
    <row r="102" spans="2:8" x14ac:dyDescent="0.25">
      <c r="B102" s="49"/>
      <c r="H102" s="49"/>
    </row>
    <row r="103" spans="2:8" x14ac:dyDescent="0.25">
      <c r="B103" s="49"/>
      <c r="H103" s="49"/>
    </row>
    <row r="104" spans="2:8" x14ac:dyDescent="0.25">
      <c r="B104" s="49"/>
      <c r="H104" s="49"/>
    </row>
    <row r="105" spans="2:8" x14ac:dyDescent="0.25">
      <c r="B105" s="49"/>
      <c r="H105" s="49"/>
    </row>
    <row r="106" spans="2:8" x14ac:dyDescent="0.25">
      <c r="B106" s="49"/>
      <c r="H106" s="49"/>
    </row>
    <row r="107" spans="2:8" x14ac:dyDescent="0.25">
      <c r="B107" s="49"/>
      <c r="H107" s="49"/>
    </row>
    <row r="108" spans="2:8" x14ac:dyDescent="0.25">
      <c r="B108" s="49"/>
      <c r="H108" s="49"/>
    </row>
    <row r="109" spans="2:8" x14ac:dyDescent="0.25">
      <c r="B109" s="49"/>
      <c r="H109" s="49"/>
    </row>
    <row r="110" spans="2:8" x14ac:dyDescent="0.25">
      <c r="B110" s="49"/>
      <c r="H110" s="49"/>
    </row>
    <row r="111" spans="2:8" x14ac:dyDescent="0.25">
      <c r="B111" s="49"/>
      <c r="H111" s="49"/>
    </row>
    <row r="112" spans="2:8" x14ac:dyDescent="0.25">
      <c r="B112" s="49"/>
      <c r="H112" s="49"/>
    </row>
    <row r="113" spans="2:8" x14ac:dyDescent="0.25">
      <c r="B113" s="49"/>
      <c r="H113" s="49"/>
    </row>
    <row r="114" spans="2:8" x14ac:dyDescent="0.25">
      <c r="B114" s="49"/>
      <c r="H114" s="49"/>
    </row>
    <row r="115" spans="2:8" x14ac:dyDescent="0.25">
      <c r="B115" s="49"/>
      <c r="H115" s="49"/>
    </row>
    <row r="116" spans="2:8" x14ac:dyDescent="0.25">
      <c r="B116" s="49"/>
      <c r="H116" s="49"/>
    </row>
    <row r="117" spans="2:8" x14ac:dyDescent="0.25">
      <c r="B117" s="49"/>
      <c r="H117" s="49"/>
    </row>
    <row r="118" spans="2:8" x14ac:dyDescent="0.25">
      <c r="B118" s="49"/>
      <c r="H118" s="49"/>
    </row>
    <row r="119" spans="2:8" x14ac:dyDescent="0.25">
      <c r="B119" s="49"/>
      <c r="H119" s="49"/>
    </row>
    <row r="120" spans="2:8" x14ac:dyDescent="0.25">
      <c r="B120" s="49"/>
      <c r="H120" s="49"/>
    </row>
    <row r="121" spans="2:8" x14ac:dyDescent="0.25">
      <c r="B121" s="49"/>
      <c r="H121" s="49"/>
    </row>
    <row r="122" spans="2:8" x14ac:dyDescent="0.25">
      <c r="B122" s="49"/>
      <c r="H122" s="49"/>
    </row>
    <row r="123" spans="2:8" x14ac:dyDescent="0.25">
      <c r="B123" s="49"/>
      <c r="H123" s="49"/>
    </row>
    <row r="124" spans="2:8" x14ac:dyDescent="0.25">
      <c r="B124" s="49"/>
      <c r="H124" s="49"/>
    </row>
    <row r="125" spans="2:8" x14ac:dyDescent="0.25">
      <c r="B125" s="49"/>
      <c r="H125" s="49"/>
    </row>
    <row r="126" spans="2:8" x14ac:dyDescent="0.25">
      <c r="B126" s="49"/>
      <c r="H126" s="49"/>
    </row>
    <row r="127" spans="2:8" x14ac:dyDescent="0.25">
      <c r="B127" s="49"/>
      <c r="H127" s="49"/>
    </row>
    <row r="128" spans="2:8" x14ac:dyDescent="0.25">
      <c r="B128" s="49"/>
      <c r="H128" s="49"/>
    </row>
    <row r="129" spans="2:8" x14ac:dyDescent="0.25">
      <c r="B129" s="49"/>
      <c r="H129" s="49"/>
    </row>
    <row r="130" spans="2:8" x14ac:dyDescent="0.25">
      <c r="B130" s="49"/>
      <c r="H130" s="49"/>
    </row>
    <row r="131" spans="2:8" x14ac:dyDescent="0.25">
      <c r="B131" s="49"/>
      <c r="H131" s="49"/>
    </row>
    <row r="132" spans="2:8" x14ac:dyDescent="0.25">
      <c r="B132" s="49"/>
      <c r="H132" s="49"/>
    </row>
    <row r="133" spans="2:8" x14ac:dyDescent="0.25">
      <c r="B133" s="49"/>
      <c r="H133" s="49"/>
    </row>
    <row r="134" spans="2:8" x14ac:dyDescent="0.25">
      <c r="B134" s="49"/>
      <c r="H134" s="49"/>
    </row>
    <row r="135" spans="2:8" x14ac:dyDescent="0.25">
      <c r="B135" s="49"/>
      <c r="H135" s="49"/>
    </row>
    <row r="136" spans="2:8" x14ac:dyDescent="0.25">
      <c r="B136" s="49"/>
      <c r="H136" s="49"/>
    </row>
    <row r="137" spans="2:8" x14ac:dyDescent="0.25">
      <c r="B137" s="49"/>
      <c r="H137" s="49"/>
    </row>
    <row r="138" spans="2:8" x14ac:dyDescent="0.25">
      <c r="B138" s="49"/>
      <c r="H138" s="49"/>
    </row>
    <row r="139" spans="2:8" x14ac:dyDescent="0.25">
      <c r="B139" s="49"/>
      <c r="H139" s="49"/>
    </row>
    <row r="140" spans="2:8" x14ac:dyDescent="0.25">
      <c r="B140" s="49"/>
      <c r="H140" s="49"/>
    </row>
    <row r="141" spans="2:8" x14ac:dyDescent="0.25">
      <c r="B141" s="49"/>
      <c r="H141" s="49"/>
    </row>
    <row r="142" spans="2:8" x14ac:dyDescent="0.25">
      <c r="B142" s="49"/>
      <c r="H142" s="49"/>
    </row>
    <row r="143" spans="2:8" x14ac:dyDescent="0.25">
      <c r="B143" s="49"/>
      <c r="H143" s="49"/>
    </row>
    <row r="144" spans="2:8" x14ac:dyDescent="0.25">
      <c r="B144" s="49"/>
      <c r="H144" s="49"/>
    </row>
    <row r="145" spans="2:8" x14ac:dyDescent="0.25">
      <c r="B145" s="49"/>
      <c r="H145" s="49"/>
    </row>
    <row r="146" spans="2:8" x14ac:dyDescent="0.25">
      <c r="B146" s="49"/>
      <c r="H146" s="49"/>
    </row>
    <row r="147" spans="2:8" x14ac:dyDescent="0.25">
      <c r="B147" s="49"/>
      <c r="H147" s="49"/>
    </row>
    <row r="148" spans="2:8" x14ac:dyDescent="0.25">
      <c r="B148" s="49"/>
      <c r="H148" s="49"/>
    </row>
    <row r="149" spans="2:8" x14ac:dyDescent="0.25">
      <c r="B149" s="49"/>
      <c r="H149" s="49"/>
    </row>
    <row r="150" spans="2:8" x14ac:dyDescent="0.25">
      <c r="B150" s="49"/>
      <c r="H150" s="49"/>
    </row>
  </sheetData>
  <sheetProtection algorithmName="SHA-512" hashValue="DU1X/2XaG6PyLrOQzRUfm/A0PKORFnZq6qwzSN/013uIGNjZ1vQw0g1sBijGhahHDTw2n14HuvdbXQKRyg8RYA==" saltValue="jCjWqDwnopT/RFvOYzVZrg==" spinCount="100000" sheet="1" objects="1" scenarios="1" insertRows="0" deleteRows="0"/>
  <mergeCells count="6">
    <mergeCell ref="B6:H6"/>
    <mergeCell ref="B7:H7"/>
    <mergeCell ref="K12:L21"/>
    <mergeCell ref="C12:G12"/>
    <mergeCell ref="D13:F13"/>
    <mergeCell ref="C14:E14"/>
  </mergeCells>
  <conditionalFormatting sqref="C16:F20">
    <cfRule type="expression" dxfId="6" priority="1">
      <formula>$C16&lt;&gt;""</formula>
    </cfRule>
  </conditionalFormatting>
  <dataValidations count="3">
    <dataValidation type="list" allowBlank="1" showInputMessage="1" showErrorMessage="1" sqref="E16:E20" xr:uid="{00000000-0002-0000-0B00-000000000000}">
      <formula1>Species</formula1>
    </dataValidation>
    <dataValidation type="list" allowBlank="1" showInputMessage="1" showErrorMessage="1" sqref="D16:D20" xr:uid="{00000000-0002-0000-0B00-000001000000}">
      <formula1>Stratum</formula1>
    </dataValidation>
    <dataValidation type="whole" allowBlank="1" showInputMessage="1" showErrorMessage="1" errorTitle="Data type error" error="Please enter numeric value_x000a_" prompt="Please enter numeric value_x000a_" sqref="F16:F1048576" xr:uid="{00000000-0002-0000-0B00-000002000000}">
      <formula1>1</formula1>
      <formula2>100000</formula2>
    </dataValidation>
  </dataValidations>
  <pageMargins left="0.7" right="0.7" top="0.75" bottom="0.75" header="0.3" footer="0.3"/>
  <pageSetup paperSize="9" orientation="portrait" r:id="rId1"/>
  <drawing r:id="rId2"/>
  <tableParts count="1">
    <tablePart r:id="rId3"/>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dimension ref="A1:BK315"/>
  <sheetViews>
    <sheetView showGridLines="0" zoomScaleNormal="100" workbookViewId="0">
      <pane ySplit="1" topLeftCell="A2" activePane="bottomLeft" state="frozen"/>
      <selection pane="bottomLeft" activeCell="A4" sqref="A4"/>
    </sheetView>
  </sheetViews>
  <sheetFormatPr defaultColWidth="9.140625" defaultRowHeight="15" x14ac:dyDescent="0.25"/>
  <cols>
    <col min="1" max="1" width="16.28515625" style="61" customWidth="1"/>
    <col min="2" max="2" width="12.140625" style="276" customWidth="1"/>
    <col min="3" max="3" width="12.28515625" style="259" customWidth="1"/>
    <col min="4" max="4" width="16.7109375" style="259" customWidth="1"/>
    <col min="5" max="5" width="13.42578125" style="259" customWidth="1"/>
    <col min="6" max="6" width="16.42578125" style="259" customWidth="1"/>
    <col min="7" max="7" width="11.42578125" style="61" customWidth="1"/>
    <col min="8" max="8" width="10.140625" style="61" bestFit="1" customWidth="1"/>
    <col min="9" max="9" width="12" style="61" customWidth="1"/>
    <col min="10" max="17" width="15.42578125" style="61" customWidth="1"/>
    <col min="18" max="18" width="24.85546875" style="61" bestFit="1" customWidth="1"/>
    <col min="19" max="19" width="21.140625" style="61" bestFit="1" customWidth="1"/>
    <col min="20" max="21" width="14.42578125" style="61" customWidth="1"/>
    <col min="22" max="22" width="23.28515625" style="61" bestFit="1" customWidth="1"/>
    <col min="23" max="23" width="21.42578125" style="61" bestFit="1" customWidth="1"/>
    <col min="24" max="24" width="12.7109375" style="239" customWidth="1"/>
    <col min="25" max="25" width="12.7109375" style="61" customWidth="1"/>
    <col min="26" max="26" width="3.42578125" style="61" customWidth="1"/>
    <col min="27" max="27" width="12" style="61" customWidth="1"/>
    <col min="28" max="28" width="13.28515625" style="61" customWidth="1"/>
    <col min="29" max="29" width="12.7109375" style="61" customWidth="1"/>
    <col min="30" max="30" width="9.85546875" style="61" customWidth="1"/>
    <col min="31" max="31" width="8.7109375" style="61" customWidth="1"/>
    <col min="32" max="35" width="12.7109375" style="61" customWidth="1"/>
    <col min="36" max="36" width="15.42578125" style="61" customWidth="1"/>
    <col min="37" max="48" width="12.7109375" style="61" customWidth="1"/>
    <col min="49" max="56" width="9.140625" style="230"/>
    <col min="57" max="57" width="2.140625" style="61" customWidth="1"/>
    <col min="58" max="58" width="122.28515625" style="61" customWidth="1"/>
    <col min="59" max="59" width="2" style="61" customWidth="1"/>
    <col min="60" max="63" width="9.140625" style="231"/>
    <col min="64" max="251" width="9.140625" style="61"/>
    <col min="252" max="252" width="5.42578125" style="61" customWidth="1"/>
    <col min="253" max="253" width="35" style="61" customWidth="1"/>
    <col min="254" max="254" width="20" style="61" customWidth="1"/>
    <col min="255" max="255" width="13.28515625" style="61" bestFit="1" customWidth="1"/>
    <col min="256" max="256" width="20.7109375" style="61" customWidth="1"/>
    <col min="257" max="257" width="21" style="61" customWidth="1"/>
    <col min="258" max="258" width="20.140625" style="61" customWidth="1"/>
    <col min="259" max="259" width="20.140625" style="61" bestFit="1" customWidth="1"/>
    <col min="260" max="260" width="12" style="61" customWidth="1"/>
    <col min="261" max="261" width="5.85546875" style="61" customWidth="1"/>
    <col min="262" max="262" width="21.42578125" style="61" customWidth="1"/>
    <col min="263" max="263" width="11.42578125" style="61" customWidth="1"/>
    <col min="264" max="264" width="12.85546875" style="61" customWidth="1"/>
    <col min="265" max="265" width="7.7109375" style="61" customWidth="1"/>
    <col min="266" max="266" width="26.85546875" style="61" customWidth="1"/>
    <col min="267" max="270" width="11.42578125" style="61" customWidth="1"/>
    <col min="271" max="507" width="9.140625" style="61"/>
    <col min="508" max="508" width="5.42578125" style="61" customWidth="1"/>
    <col min="509" max="509" width="35" style="61" customWidth="1"/>
    <col min="510" max="510" width="20" style="61" customWidth="1"/>
    <col min="511" max="511" width="13.28515625" style="61" bestFit="1" customWidth="1"/>
    <col min="512" max="512" width="20.7109375" style="61" customWidth="1"/>
    <col min="513" max="513" width="21" style="61" customWidth="1"/>
    <col min="514" max="514" width="20.140625" style="61" customWidth="1"/>
    <col min="515" max="515" width="20.140625" style="61" bestFit="1" customWidth="1"/>
    <col min="516" max="516" width="12" style="61" customWidth="1"/>
    <col min="517" max="517" width="5.85546875" style="61" customWidth="1"/>
    <col min="518" max="518" width="21.42578125" style="61" customWidth="1"/>
    <col min="519" max="519" width="11.42578125" style="61" customWidth="1"/>
    <col min="520" max="520" width="12.85546875" style="61" customWidth="1"/>
    <col min="521" max="521" width="7.7109375" style="61" customWidth="1"/>
    <col min="522" max="522" width="26.85546875" style="61" customWidth="1"/>
    <col min="523" max="526" width="11.42578125" style="61" customWidth="1"/>
    <col min="527" max="763" width="9.140625" style="61"/>
    <col min="764" max="764" width="5.42578125" style="61" customWidth="1"/>
    <col min="765" max="765" width="35" style="61" customWidth="1"/>
    <col min="766" max="766" width="20" style="61" customWidth="1"/>
    <col min="767" max="767" width="13.28515625" style="61" bestFit="1" customWidth="1"/>
    <col min="768" max="768" width="20.7109375" style="61" customWidth="1"/>
    <col min="769" max="769" width="21" style="61" customWidth="1"/>
    <col min="770" max="770" width="20.140625" style="61" customWidth="1"/>
    <col min="771" max="771" width="20.140625" style="61" bestFit="1" customWidth="1"/>
    <col min="772" max="772" width="12" style="61" customWidth="1"/>
    <col min="773" max="773" width="5.85546875" style="61" customWidth="1"/>
    <col min="774" max="774" width="21.42578125" style="61" customWidth="1"/>
    <col min="775" max="775" width="11.42578125" style="61" customWidth="1"/>
    <col min="776" max="776" width="12.85546875" style="61" customWidth="1"/>
    <col min="777" max="777" width="7.7109375" style="61" customWidth="1"/>
    <col min="778" max="778" width="26.85546875" style="61" customWidth="1"/>
    <col min="779" max="782" width="11.42578125" style="61" customWidth="1"/>
    <col min="783" max="1019" width="9.140625" style="61"/>
    <col min="1020" max="1020" width="5.42578125" style="61" customWidth="1"/>
    <col min="1021" max="1021" width="35" style="61" customWidth="1"/>
    <col min="1022" max="1022" width="20" style="61" customWidth="1"/>
    <col min="1023" max="1023" width="13.28515625" style="61" bestFit="1" customWidth="1"/>
    <col min="1024" max="1024" width="20.7109375" style="61" customWidth="1"/>
    <col min="1025" max="1025" width="21" style="61" customWidth="1"/>
    <col min="1026" max="1026" width="20.140625" style="61" customWidth="1"/>
    <col min="1027" max="1027" width="20.140625" style="61" bestFit="1" customWidth="1"/>
    <col min="1028" max="1028" width="12" style="61" customWidth="1"/>
    <col min="1029" max="1029" width="5.85546875" style="61" customWidth="1"/>
    <col min="1030" max="1030" width="21.42578125" style="61" customWidth="1"/>
    <col min="1031" max="1031" width="11.42578125" style="61" customWidth="1"/>
    <col min="1032" max="1032" width="12.85546875" style="61" customWidth="1"/>
    <col min="1033" max="1033" width="7.7109375" style="61" customWidth="1"/>
    <col min="1034" max="1034" width="26.85546875" style="61" customWidth="1"/>
    <col min="1035" max="1038" width="11.42578125" style="61" customWidth="1"/>
    <col min="1039" max="1275" width="9.140625" style="61"/>
    <col min="1276" max="1276" width="5.42578125" style="61" customWidth="1"/>
    <col min="1277" max="1277" width="35" style="61" customWidth="1"/>
    <col min="1278" max="1278" width="20" style="61" customWidth="1"/>
    <col min="1279" max="1279" width="13.28515625" style="61" bestFit="1" customWidth="1"/>
    <col min="1280" max="1280" width="20.7109375" style="61" customWidth="1"/>
    <col min="1281" max="1281" width="21" style="61" customWidth="1"/>
    <col min="1282" max="1282" width="20.140625" style="61" customWidth="1"/>
    <col min="1283" max="1283" width="20.140625" style="61" bestFit="1" customWidth="1"/>
    <col min="1284" max="1284" width="12" style="61" customWidth="1"/>
    <col min="1285" max="1285" width="5.85546875" style="61" customWidth="1"/>
    <col min="1286" max="1286" width="21.42578125" style="61" customWidth="1"/>
    <col min="1287" max="1287" width="11.42578125" style="61" customWidth="1"/>
    <col min="1288" max="1288" width="12.85546875" style="61" customWidth="1"/>
    <col min="1289" max="1289" width="7.7109375" style="61" customWidth="1"/>
    <col min="1290" max="1290" width="26.85546875" style="61" customWidth="1"/>
    <col min="1291" max="1294" width="11.42578125" style="61" customWidth="1"/>
    <col min="1295" max="1531" width="9.140625" style="61"/>
    <col min="1532" max="1532" width="5.42578125" style="61" customWidth="1"/>
    <col min="1533" max="1533" width="35" style="61" customWidth="1"/>
    <col min="1534" max="1534" width="20" style="61" customWidth="1"/>
    <col min="1535" max="1535" width="13.28515625" style="61" bestFit="1" customWidth="1"/>
    <col min="1536" max="1536" width="20.7109375" style="61" customWidth="1"/>
    <col min="1537" max="1537" width="21" style="61" customWidth="1"/>
    <col min="1538" max="1538" width="20.140625" style="61" customWidth="1"/>
    <col min="1539" max="1539" width="20.140625" style="61" bestFit="1" customWidth="1"/>
    <col min="1540" max="1540" width="12" style="61" customWidth="1"/>
    <col min="1541" max="1541" width="5.85546875" style="61" customWidth="1"/>
    <col min="1542" max="1542" width="21.42578125" style="61" customWidth="1"/>
    <col min="1543" max="1543" width="11.42578125" style="61" customWidth="1"/>
    <col min="1544" max="1544" width="12.85546875" style="61" customWidth="1"/>
    <col min="1545" max="1545" width="7.7109375" style="61" customWidth="1"/>
    <col min="1546" max="1546" width="26.85546875" style="61" customWidth="1"/>
    <col min="1547" max="1550" width="11.42578125" style="61" customWidth="1"/>
    <col min="1551" max="1787" width="9.140625" style="61"/>
    <col min="1788" max="1788" width="5.42578125" style="61" customWidth="1"/>
    <col min="1789" max="1789" width="35" style="61" customWidth="1"/>
    <col min="1790" max="1790" width="20" style="61" customWidth="1"/>
    <col min="1791" max="1791" width="13.28515625" style="61" bestFit="1" customWidth="1"/>
    <col min="1792" max="1792" width="20.7109375" style="61" customWidth="1"/>
    <col min="1793" max="1793" width="21" style="61" customWidth="1"/>
    <col min="1794" max="1794" width="20.140625" style="61" customWidth="1"/>
    <col min="1795" max="1795" width="20.140625" style="61" bestFit="1" customWidth="1"/>
    <col min="1796" max="1796" width="12" style="61" customWidth="1"/>
    <col min="1797" max="1797" width="5.85546875" style="61" customWidth="1"/>
    <col min="1798" max="1798" width="21.42578125" style="61" customWidth="1"/>
    <col min="1799" max="1799" width="11.42578125" style="61" customWidth="1"/>
    <col min="1800" max="1800" width="12.85546875" style="61" customWidth="1"/>
    <col min="1801" max="1801" width="7.7109375" style="61" customWidth="1"/>
    <col min="1802" max="1802" width="26.85546875" style="61" customWidth="1"/>
    <col min="1803" max="1806" width="11.42578125" style="61" customWidth="1"/>
    <col min="1807" max="2043" width="9.140625" style="61"/>
    <col min="2044" max="2044" width="5.42578125" style="61" customWidth="1"/>
    <col min="2045" max="2045" width="35" style="61" customWidth="1"/>
    <col min="2046" max="2046" width="20" style="61" customWidth="1"/>
    <col min="2047" max="2047" width="13.28515625" style="61" bestFit="1" customWidth="1"/>
    <col min="2048" max="2048" width="20.7109375" style="61" customWidth="1"/>
    <col min="2049" max="2049" width="21" style="61" customWidth="1"/>
    <col min="2050" max="2050" width="20.140625" style="61" customWidth="1"/>
    <col min="2051" max="2051" width="20.140625" style="61" bestFit="1" customWidth="1"/>
    <col min="2052" max="2052" width="12" style="61" customWidth="1"/>
    <col min="2053" max="2053" width="5.85546875" style="61" customWidth="1"/>
    <col min="2054" max="2054" width="21.42578125" style="61" customWidth="1"/>
    <col min="2055" max="2055" width="11.42578125" style="61" customWidth="1"/>
    <col min="2056" max="2056" width="12.85546875" style="61" customWidth="1"/>
    <col min="2057" max="2057" width="7.7109375" style="61" customWidth="1"/>
    <col min="2058" max="2058" width="26.85546875" style="61" customWidth="1"/>
    <col min="2059" max="2062" width="11.42578125" style="61" customWidth="1"/>
    <col min="2063" max="2299" width="9.140625" style="61"/>
    <col min="2300" max="2300" width="5.42578125" style="61" customWidth="1"/>
    <col min="2301" max="2301" width="35" style="61" customWidth="1"/>
    <col min="2302" max="2302" width="20" style="61" customWidth="1"/>
    <col min="2303" max="2303" width="13.28515625" style="61" bestFit="1" customWidth="1"/>
    <col min="2304" max="2304" width="20.7109375" style="61" customWidth="1"/>
    <col min="2305" max="2305" width="21" style="61" customWidth="1"/>
    <col min="2306" max="2306" width="20.140625" style="61" customWidth="1"/>
    <col min="2307" max="2307" width="20.140625" style="61" bestFit="1" customWidth="1"/>
    <col min="2308" max="2308" width="12" style="61" customWidth="1"/>
    <col min="2309" max="2309" width="5.85546875" style="61" customWidth="1"/>
    <col min="2310" max="2310" width="21.42578125" style="61" customWidth="1"/>
    <col min="2311" max="2311" width="11.42578125" style="61" customWidth="1"/>
    <col min="2312" max="2312" width="12.85546875" style="61" customWidth="1"/>
    <col min="2313" max="2313" width="7.7109375" style="61" customWidth="1"/>
    <col min="2314" max="2314" width="26.85546875" style="61" customWidth="1"/>
    <col min="2315" max="2318" width="11.42578125" style="61" customWidth="1"/>
    <col min="2319" max="2555" width="9.140625" style="61"/>
    <col min="2556" max="2556" width="5.42578125" style="61" customWidth="1"/>
    <col min="2557" max="2557" width="35" style="61" customWidth="1"/>
    <col min="2558" max="2558" width="20" style="61" customWidth="1"/>
    <col min="2559" max="2559" width="13.28515625" style="61" bestFit="1" customWidth="1"/>
    <col min="2560" max="2560" width="20.7109375" style="61" customWidth="1"/>
    <col min="2561" max="2561" width="21" style="61" customWidth="1"/>
    <col min="2562" max="2562" width="20.140625" style="61" customWidth="1"/>
    <col min="2563" max="2563" width="20.140625" style="61" bestFit="1" customWidth="1"/>
    <col min="2564" max="2564" width="12" style="61" customWidth="1"/>
    <col min="2565" max="2565" width="5.85546875" style="61" customWidth="1"/>
    <col min="2566" max="2566" width="21.42578125" style="61" customWidth="1"/>
    <col min="2567" max="2567" width="11.42578125" style="61" customWidth="1"/>
    <col min="2568" max="2568" width="12.85546875" style="61" customWidth="1"/>
    <col min="2569" max="2569" width="7.7109375" style="61" customWidth="1"/>
    <col min="2570" max="2570" width="26.85546875" style="61" customWidth="1"/>
    <col min="2571" max="2574" width="11.42578125" style="61" customWidth="1"/>
    <col min="2575" max="2811" width="9.140625" style="61"/>
    <col min="2812" max="2812" width="5.42578125" style="61" customWidth="1"/>
    <col min="2813" max="2813" width="35" style="61" customWidth="1"/>
    <col min="2814" max="2814" width="20" style="61" customWidth="1"/>
    <col min="2815" max="2815" width="13.28515625" style="61" bestFit="1" customWidth="1"/>
    <col min="2816" max="2816" width="20.7109375" style="61" customWidth="1"/>
    <col min="2817" max="2817" width="21" style="61" customWidth="1"/>
    <col min="2818" max="2818" width="20.140625" style="61" customWidth="1"/>
    <col min="2819" max="2819" width="20.140625" style="61" bestFit="1" customWidth="1"/>
    <col min="2820" max="2820" width="12" style="61" customWidth="1"/>
    <col min="2821" max="2821" width="5.85546875" style="61" customWidth="1"/>
    <col min="2822" max="2822" width="21.42578125" style="61" customWidth="1"/>
    <col min="2823" max="2823" width="11.42578125" style="61" customWidth="1"/>
    <col min="2824" max="2824" width="12.85546875" style="61" customWidth="1"/>
    <col min="2825" max="2825" width="7.7109375" style="61" customWidth="1"/>
    <col min="2826" max="2826" width="26.85546875" style="61" customWidth="1"/>
    <col min="2827" max="2830" width="11.42578125" style="61" customWidth="1"/>
    <col min="2831" max="3067" width="9.140625" style="61"/>
    <col min="3068" max="3068" width="5.42578125" style="61" customWidth="1"/>
    <col min="3069" max="3069" width="35" style="61" customWidth="1"/>
    <col min="3070" max="3070" width="20" style="61" customWidth="1"/>
    <col min="3071" max="3071" width="13.28515625" style="61" bestFit="1" customWidth="1"/>
    <col min="3072" max="3072" width="20.7109375" style="61" customWidth="1"/>
    <col min="3073" max="3073" width="21" style="61" customWidth="1"/>
    <col min="3074" max="3074" width="20.140625" style="61" customWidth="1"/>
    <col min="3075" max="3075" width="20.140625" style="61" bestFit="1" customWidth="1"/>
    <col min="3076" max="3076" width="12" style="61" customWidth="1"/>
    <col min="3077" max="3077" width="5.85546875" style="61" customWidth="1"/>
    <col min="3078" max="3078" width="21.42578125" style="61" customWidth="1"/>
    <col min="3079" max="3079" width="11.42578125" style="61" customWidth="1"/>
    <col min="3080" max="3080" width="12.85546875" style="61" customWidth="1"/>
    <col min="3081" max="3081" width="7.7109375" style="61" customWidth="1"/>
    <col min="3082" max="3082" width="26.85546875" style="61" customWidth="1"/>
    <col min="3083" max="3086" width="11.42578125" style="61" customWidth="1"/>
    <col min="3087" max="3323" width="9.140625" style="61"/>
    <col min="3324" max="3324" width="5.42578125" style="61" customWidth="1"/>
    <col min="3325" max="3325" width="35" style="61" customWidth="1"/>
    <col min="3326" max="3326" width="20" style="61" customWidth="1"/>
    <col min="3327" max="3327" width="13.28515625" style="61" bestFit="1" customWidth="1"/>
    <col min="3328" max="3328" width="20.7109375" style="61" customWidth="1"/>
    <col min="3329" max="3329" width="21" style="61" customWidth="1"/>
    <col min="3330" max="3330" width="20.140625" style="61" customWidth="1"/>
    <col min="3331" max="3331" width="20.140625" style="61" bestFit="1" customWidth="1"/>
    <col min="3332" max="3332" width="12" style="61" customWidth="1"/>
    <col min="3333" max="3333" width="5.85546875" style="61" customWidth="1"/>
    <col min="3334" max="3334" width="21.42578125" style="61" customWidth="1"/>
    <col min="3335" max="3335" width="11.42578125" style="61" customWidth="1"/>
    <col min="3336" max="3336" width="12.85546875" style="61" customWidth="1"/>
    <col min="3337" max="3337" width="7.7109375" style="61" customWidth="1"/>
    <col min="3338" max="3338" width="26.85546875" style="61" customWidth="1"/>
    <col min="3339" max="3342" width="11.42578125" style="61" customWidth="1"/>
    <col min="3343" max="3579" width="9.140625" style="61"/>
    <col min="3580" max="3580" width="5.42578125" style="61" customWidth="1"/>
    <col min="3581" max="3581" width="35" style="61" customWidth="1"/>
    <col min="3582" max="3582" width="20" style="61" customWidth="1"/>
    <col min="3583" max="3583" width="13.28515625" style="61" bestFit="1" customWidth="1"/>
    <col min="3584" max="3584" width="20.7109375" style="61" customWidth="1"/>
    <col min="3585" max="3585" width="21" style="61" customWidth="1"/>
    <col min="3586" max="3586" width="20.140625" style="61" customWidth="1"/>
    <col min="3587" max="3587" width="20.140625" style="61" bestFit="1" customWidth="1"/>
    <col min="3588" max="3588" width="12" style="61" customWidth="1"/>
    <col min="3589" max="3589" width="5.85546875" style="61" customWidth="1"/>
    <col min="3590" max="3590" width="21.42578125" style="61" customWidth="1"/>
    <col min="3591" max="3591" width="11.42578125" style="61" customWidth="1"/>
    <col min="3592" max="3592" width="12.85546875" style="61" customWidth="1"/>
    <col min="3593" max="3593" width="7.7109375" style="61" customWidth="1"/>
    <col min="3594" max="3594" width="26.85546875" style="61" customWidth="1"/>
    <col min="3595" max="3598" width="11.42578125" style="61" customWidth="1"/>
    <col min="3599" max="3835" width="9.140625" style="61"/>
    <col min="3836" max="3836" width="5.42578125" style="61" customWidth="1"/>
    <col min="3837" max="3837" width="35" style="61" customWidth="1"/>
    <col min="3838" max="3838" width="20" style="61" customWidth="1"/>
    <col min="3839" max="3839" width="13.28515625" style="61" bestFit="1" customWidth="1"/>
    <col min="3840" max="3840" width="20.7109375" style="61" customWidth="1"/>
    <col min="3841" max="3841" width="21" style="61" customWidth="1"/>
    <col min="3842" max="3842" width="20.140625" style="61" customWidth="1"/>
    <col min="3843" max="3843" width="20.140625" style="61" bestFit="1" customWidth="1"/>
    <col min="3844" max="3844" width="12" style="61" customWidth="1"/>
    <col min="3845" max="3845" width="5.85546875" style="61" customWidth="1"/>
    <col min="3846" max="3846" width="21.42578125" style="61" customWidth="1"/>
    <col min="3847" max="3847" width="11.42578125" style="61" customWidth="1"/>
    <col min="3848" max="3848" width="12.85546875" style="61" customWidth="1"/>
    <col min="3849" max="3849" width="7.7109375" style="61" customWidth="1"/>
    <col min="3850" max="3850" width="26.85546875" style="61" customWidth="1"/>
    <col min="3851" max="3854" width="11.42578125" style="61" customWidth="1"/>
    <col min="3855" max="4091" width="9.140625" style="61"/>
    <col min="4092" max="4092" width="5.42578125" style="61" customWidth="1"/>
    <col min="4093" max="4093" width="35" style="61" customWidth="1"/>
    <col min="4094" max="4094" width="20" style="61" customWidth="1"/>
    <col min="4095" max="4095" width="13.28515625" style="61" bestFit="1" customWidth="1"/>
    <col min="4096" max="4096" width="20.7109375" style="61" customWidth="1"/>
    <col min="4097" max="4097" width="21" style="61" customWidth="1"/>
    <col min="4098" max="4098" width="20.140625" style="61" customWidth="1"/>
    <col min="4099" max="4099" width="20.140625" style="61" bestFit="1" customWidth="1"/>
    <col min="4100" max="4100" width="12" style="61" customWidth="1"/>
    <col min="4101" max="4101" width="5.85546875" style="61" customWidth="1"/>
    <col min="4102" max="4102" width="21.42578125" style="61" customWidth="1"/>
    <col min="4103" max="4103" width="11.42578125" style="61" customWidth="1"/>
    <col min="4104" max="4104" width="12.85546875" style="61" customWidth="1"/>
    <col min="4105" max="4105" width="7.7109375" style="61" customWidth="1"/>
    <col min="4106" max="4106" width="26.85546875" style="61" customWidth="1"/>
    <col min="4107" max="4110" width="11.42578125" style="61" customWidth="1"/>
    <col min="4111" max="4347" width="9.140625" style="61"/>
    <col min="4348" max="4348" width="5.42578125" style="61" customWidth="1"/>
    <col min="4349" max="4349" width="35" style="61" customWidth="1"/>
    <col min="4350" max="4350" width="20" style="61" customWidth="1"/>
    <col min="4351" max="4351" width="13.28515625" style="61" bestFit="1" customWidth="1"/>
    <col min="4352" max="4352" width="20.7109375" style="61" customWidth="1"/>
    <col min="4353" max="4353" width="21" style="61" customWidth="1"/>
    <col min="4354" max="4354" width="20.140625" style="61" customWidth="1"/>
    <col min="4355" max="4355" width="20.140625" style="61" bestFit="1" customWidth="1"/>
    <col min="4356" max="4356" width="12" style="61" customWidth="1"/>
    <col min="4357" max="4357" width="5.85546875" style="61" customWidth="1"/>
    <col min="4358" max="4358" width="21.42578125" style="61" customWidth="1"/>
    <col min="4359" max="4359" width="11.42578125" style="61" customWidth="1"/>
    <col min="4360" max="4360" width="12.85546875" style="61" customWidth="1"/>
    <col min="4361" max="4361" width="7.7109375" style="61" customWidth="1"/>
    <col min="4362" max="4362" width="26.85546875" style="61" customWidth="1"/>
    <col min="4363" max="4366" width="11.42578125" style="61" customWidth="1"/>
    <col min="4367" max="4603" width="9.140625" style="61"/>
    <col min="4604" max="4604" width="5.42578125" style="61" customWidth="1"/>
    <col min="4605" max="4605" width="35" style="61" customWidth="1"/>
    <col min="4606" max="4606" width="20" style="61" customWidth="1"/>
    <col min="4607" max="4607" width="13.28515625" style="61" bestFit="1" customWidth="1"/>
    <col min="4608" max="4608" width="20.7109375" style="61" customWidth="1"/>
    <col min="4609" max="4609" width="21" style="61" customWidth="1"/>
    <col min="4610" max="4610" width="20.140625" style="61" customWidth="1"/>
    <col min="4611" max="4611" width="20.140625" style="61" bestFit="1" customWidth="1"/>
    <col min="4612" max="4612" width="12" style="61" customWidth="1"/>
    <col min="4613" max="4613" width="5.85546875" style="61" customWidth="1"/>
    <col min="4614" max="4614" width="21.42578125" style="61" customWidth="1"/>
    <col min="4615" max="4615" width="11.42578125" style="61" customWidth="1"/>
    <col min="4616" max="4616" width="12.85546875" style="61" customWidth="1"/>
    <col min="4617" max="4617" width="7.7109375" style="61" customWidth="1"/>
    <col min="4618" max="4618" width="26.85546875" style="61" customWidth="1"/>
    <col min="4619" max="4622" width="11.42578125" style="61" customWidth="1"/>
    <col min="4623" max="4859" width="9.140625" style="61"/>
    <col min="4860" max="4860" width="5.42578125" style="61" customWidth="1"/>
    <col min="4861" max="4861" width="35" style="61" customWidth="1"/>
    <col min="4862" max="4862" width="20" style="61" customWidth="1"/>
    <col min="4863" max="4863" width="13.28515625" style="61" bestFit="1" customWidth="1"/>
    <col min="4864" max="4864" width="20.7109375" style="61" customWidth="1"/>
    <col min="4865" max="4865" width="21" style="61" customWidth="1"/>
    <col min="4866" max="4866" width="20.140625" style="61" customWidth="1"/>
    <col min="4867" max="4867" width="20.140625" style="61" bestFit="1" customWidth="1"/>
    <col min="4868" max="4868" width="12" style="61" customWidth="1"/>
    <col min="4869" max="4869" width="5.85546875" style="61" customWidth="1"/>
    <col min="4870" max="4870" width="21.42578125" style="61" customWidth="1"/>
    <col min="4871" max="4871" width="11.42578125" style="61" customWidth="1"/>
    <col min="4872" max="4872" width="12.85546875" style="61" customWidth="1"/>
    <col min="4873" max="4873" width="7.7109375" style="61" customWidth="1"/>
    <col min="4874" max="4874" width="26.85546875" style="61" customWidth="1"/>
    <col min="4875" max="4878" width="11.42578125" style="61" customWidth="1"/>
    <col min="4879" max="5115" width="9.140625" style="61"/>
    <col min="5116" max="5116" width="5.42578125" style="61" customWidth="1"/>
    <col min="5117" max="5117" width="35" style="61" customWidth="1"/>
    <col min="5118" max="5118" width="20" style="61" customWidth="1"/>
    <col min="5119" max="5119" width="13.28515625" style="61" bestFit="1" customWidth="1"/>
    <col min="5120" max="5120" width="20.7109375" style="61" customWidth="1"/>
    <col min="5121" max="5121" width="21" style="61" customWidth="1"/>
    <col min="5122" max="5122" width="20.140625" style="61" customWidth="1"/>
    <col min="5123" max="5123" width="20.140625" style="61" bestFit="1" customWidth="1"/>
    <col min="5124" max="5124" width="12" style="61" customWidth="1"/>
    <col min="5125" max="5125" width="5.85546875" style="61" customWidth="1"/>
    <col min="5126" max="5126" width="21.42578125" style="61" customWidth="1"/>
    <col min="5127" max="5127" width="11.42578125" style="61" customWidth="1"/>
    <col min="5128" max="5128" width="12.85546875" style="61" customWidth="1"/>
    <col min="5129" max="5129" width="7.7109375" style="61" customWidth="1"/>
    <col min="5130" max="5130" width="26.85546875" style="61" customWidth="1"/>
    <col min="5131" max="5134" width="11.42578125" style="61" customWidth="1"/>
    <col min="5135" max="5371" width="9.140625" style="61"/>
    <col min="5372" max="5372" width="5.42578125" style="61" customWidth="1"/>
    <col min="5373" max="5373" width="35" style="61" customWidth="1"/>
    <col min="5374" max="5374" width="20" style="61" customWidth="1"/>
    <col min="5375" max="5375" width="13.28515625" style="61" bestFit="1" customWidth="1"/>
    <col min="5376" max="5376" width="20.7109375" style="61" customWidth="1"/>
    <col min="5377" max="5377" width="21" style="61" customWidth="1"/>
    <col min="5378" max="5378" width="20.140625" style="61" customWidth="1"/>
    <col min="5379" max="5379" width="20.140625" style="61" bestFit="1" customWidth="1"/>
    <col min="5380" max="5380" width="12" style="61" customWidth="1"/>
    <col min="5381" max="5381" width="5.85546875" style="61" customWidth="1"/>
    <col min="5382" max="5382" width="21.42578125" style="61" customWidth="1"/>
    <col min="5383" max="5383" width="11.42578125" style="61" customWidth="1"/>
    <col min="5384" max="5384" width="12.85546875" style="61" customWidth="1"/>
    <col min="5385" max="5385" width="7.7109375" style="61" customWidth="1"/>
    <col min="5386" max="5386" width="26.85546875" style="61" customWidth="1"/>
    <col min="5387" max="5390" width="11.42578125" style="61" customWidth="1"/>
    <col min="5391" max="5627" width="9.140625" style="61"/>
    <col min="5628" max="5628" width="5.42578125" style="61" customWidth="1"/>
    <col min="5629" max="5629" width="35" style="61" customWidth="1"/>
    <col min="5630" max="5630" width="20" style="61" customWidth="1"/>
    <col min="5631" max="5631" width="13.28515625" style="61" bestFit="1" customWidth="1"/>
    <col min="5632" max="5632" width="20.7109375" style="61" customWidth="1"/>
    <col min="5633" max="5633" width="21" style="61" customWidth="1"/>
    <col min="5634" max="5634" width="20.140625" style="61" customWidth="1"/>
    <col min="5635" max="5635" width="20.140625" style="61" bestFit="1" customWidth="1"/>
    <col min="5636" max="5636" width="12" style="61" customWidth="1"/>
    <col min="5637" max="5637" width="5.85546875" style="61" customWidth="1"/>
    <col min="5638" max="5638" width="21.42578125" style="61" customWidth="1"/>
    <col min="5639" max="5639" width="11.42578125" style="61" customWidth="1"/>
    <col min="5640" max="5640" width="12.85546875" style="61" customWidth="1"/>
    <col min="5641" max="5641" width="7.7109375" style="61" customWidth="1"/>
    <col min="5642" max="5642" width="26.85546875" style="61" customWidth="1"/>
    <col min="5643" max="5646" width="11.42578125" style="61" customWidth="1"/>
    <col min="5647" max="5883" width="9.140625" style="61"/>
    <col min="5884" max="5884" width="5.42578125" style="61" customWidth="1"/>
    <col min="5885" max="5885" width="35" style="61" customWidth="1"/>
    <col min="5886" max="5886" width="20" style="61" customWidth="1"/>
    <col min="5887" max="5887" width="13.28515625" style="61" bestFit="1" customWidth="1"/>
    <col min="5888" max="5888" width="20.7109375" style="61" customWidth="1"/>
    <col min="5889" max="5889" width="21" style="61" customWidth="1"/>
    <col min="5890" max="5890" width="20.140625" style="61" customWidth="1"/>
    <col min="5891" max="5891" width="20.140625" style="61" bestFit="1" customWidth="1"/>
    <col min="5892" max="5892" width="12" style="61" customWidth="1"/>
    <col min="5893" max="5893" width="5.85546875" style="61" customWidth="1"/>
    <col min="5894" max="5894" width="21.42578125" style="61" customWidth="1"/>
    <col min="5895" max="5895" width="11.42578125" style="61" customWidth="1"/>
    <col min="5896" max="5896" width="12.85546875" style="61" customWidth="1"/>
    <col min="5897" max="5897" width="7.7109375" style="61" customWidth="1"/>
    <col min="5898" max="5898" width="26.85546875" style="61" customWidth="1"/>
    <col min="5899" max="5902" width="11.42578125" style="61" customWidth="1"/>
    <col min="5903" max="6139" width="9.140625" style="61"/>
    <col min="6140" max="6140" width="5.42578125" style="61" customWidth="1"/>
    <col min="6141" max="6141" width="35" style="61" customWidth="1"/>
    <col min="6142" max="6142" width="20" style="61" customWidth="1"/>
    <col min="6143" max="6143" width="13.28515625" style="61" bestFit="1" customWidth="1"/>
    <col min="6144" max="6144" width="20.7109375" style="61" customWidth="1"/>
    <col min="6145" max="6145" width="21" style="61" customWidth="1"/>
    <col min="6146" max="6146" width="20.140625" style="61" customWidth="1"/>
    <col min="6147" max="6147" width="20.140625" style="61" bestFit="1" customWidth="1"/>
    <col min="6148" max="6148" width="12" style="61" customWidth="1"/>
    <col min="6149" max="6149" width="5.85546875" style="61" customWidth="1"/>
    <col min="6150" max="6150" width="21.42578125" style="61" customWidth="1"/>
    <col min="6151" max="6151" width="11.42578125" style="61" customWidth="1"/>
    <col min="6152" max="6152" width="12.85546875" style="61" customWidth="1"/>
    <col min="6153" max="6153" width="7.7109375" style="61" customWidth="1"/>
    <col min="6154" max="6154" width="26.85546875" style="61" customWidth="1"/>
    <col min="6155" max="6158" width="11.42578125" style="61" customWidth="1"/>
    <col min="6159" max="6395" width="9.140625" style="61"/>
    <col min="6396" max="6396" width="5.42578125" style="61" customWidth="1"/>
    <col min="6397" max="6397" width="35" style="61" customWidth="1"/>
    <col min="6398" max="6398" width="20" style="61" customWidth="1"/>
    <col min="6399" max="6399" width="13.28515625" style="61" bestFit="1" customWidth="1"/>
    <col min="6400" max="6400" width="20.7109375" style="61" customWidth="1"/>
    <col min="6401" max="6401" width="21" style="61" customWidth="1"/>
    <col min="6402" max="6402" width="20.140625" style="61" customWidth="1"/>
    <col min="6403" max="6403" width="20.140625" style="61" bestFit="1" customWidth="1"/>
    <col min="6404" max="6404" width="12" style="61" customWidth="1"/>
    <col min="6405" max="6405" width="5.85546875" style="61" customWidth="1"/>
    <col min="6406" max="6406" width="21.42578125" style="61" customWidth="1"/>
    <col min="6407" max="6407" width="11.42578125" style="61" customWidth="1"/>
    <col min="6408" max="6408" width="12.85546875" style="61" customWidth="1"/>
    <col min="6409" max="6409" width="7.7109375" style="61" customWidth="1"/>
    <col min="6410" max="6410" width="26.85546875" style="61" customWidth="1"/>
    <col min="6411" max="6414" width="11.42578125" style="61" customWidth="1"/>
    <col min="6415" max="6651" width="9.140625" style="61"/>
    <col min="6652" max="6652" width="5.42578125" style="61" customWidth="1"/>
    <col min="6653" max="6653" width="35" style="61" customWidth="1"/>
    <col min="6654" max="6654" width="20" style="61" customWidth="1"/>
    <col min="6655" max="6655" width="13.28515625" style="61" bestFit="1" customWidth="1"/>
    <col min="6656" max="6656" width="20.7109375" style="61" customWidth="1"/>
    <col min="6657" max="6657" width="21" style="61" customWidth="1"/>
    <col min="6658" max="6658" width="20.140625" style="61" customWidth="1"/>
    <col min="6659" max="6659" width="20.140625" style="61" bestFit="1" customWidth="1"/>
    <col min="6660" max="6660" width="12" style="61" customWidth="1"/>
    <col min="6661" max="6661" width="5.85546875" style="61" customWidth="1"/>
    <col min="6662" max="6662" width="21.42578125" style="61" customWidth="1"/>
    <col min="6663" max="6663" width="11.42578125" style="61" customWidth="1"/>
    <col min="6664" max="6664" width="12.85546875" style="61" customWidth="1"/>
    <col min="6665" max="6665" width="7.7109375" style="61" customWidth="1"/>
    <col min="6666" max="6666" width="26.85546875" style="61" customWidth="1"/>
    <col min="6667" max="6670" width="11.42578125" style="61" customWidth="1"/>
    <col min="6671" max="6907" width="9.140625" style="61"/>
    <col min="6908" max="6908" width="5.42578125" style="61" customWidth="1"/>
    <col min="6909" max="6909" width="35" style="61" customWidth="1"/>
    <col min="6910" max="6910" width="20" style="61" customWidth="1"/>
    <col min="6911" max="6911" width="13.28515625" style="61" bestFit="1" customWidth="1"/>
    <col min="6912" max="6912" width="20.7109375" style="61" customWidth="1"/>
    <col min="6913" max="6913" width="21" style="61" customWidth="1"/>
    <col min="6914" max="6914" width="20.140625" style="61" customWidth="1"/>
    <col min="6915" max="6915" width="20.140625" style="61" bestFit="1" customWidth="1"/>
    <col min="6916" max="6916" width="12" style="61" customWidth="1"/>
    <col min="6917" max="6917" width="5.85546875" style="61" customWidth="1"/>
    <col min="6918" max="6918" width="21.42578125" style="61" customWidth="1"/>
    <col min="6919" max="6919" width="11.42578125" style="61" customWidth="1"/>
    <col min="6920" max="6920" width="12.85546875" style="61" customWidth="1"/>
    <col min="6921" max="6921" width="7.7109375" style="61" customWidth="1"/>
    <col min="6922" max="6922" width="26.85546875" style="61" customWidth="1"/>
    <col min="6923" max="6926" width="11.42578125" style="61" customWidth="1"/>
    <col min="6927" max="7163" width="9.140625" style="61"/>
    <col min="7164" max="7164" width="5.42578125" style="61" customWidth="1"/>
    <col min="7165" max="7165" width="35" style="61" customWidth="1"/>
    <col min="7166" max="7166" width="20" style="61" customWidth="1"/>
    <col min="7167" max="7167" width="13.28515625" style="61" bestFit="1" customWidth="1"/>
    <col min="7168" max="7168" width="20.7109375" style="61" customWidth="1"/>
    <col min="7169" max="7169" width="21" style="61" customWidth="1"/>
    <col min="7170" max="7170" width="20.140625" style="61" customWidth="1"/>
    <col min="7171" max="7171" width="20.140625" style="61" bestFit="1" customWidth="1"/>
    <col min="7172" max="7172" width="12" style="61" customWidth="1"/>
    <col min="7173" max="7173" width="5.85546875" style="61" customWidth="1"/>
    <col min="7174" max="7174" width="21.42578125" style="61" customWidth="1"/>
    <col min="7175" max="7175" width="11.42578125" style="61" customWidth="1"/>
    <col min="7176" max="7176" width="12.85546875" style="61" customWidth="1"/>
    <col min="7177" max="7177" width="7.7109375" style="61" customWidth="1"/>
    <col min="7178" max="7178" width="26.85546875" style="61" customWidth="1"/>
    <col min="7179" max="7182" width="11.42578125" style="61" customWidth="1"/>
    <col min="7183" max="7419" width="9.140625" style="61"/>
    <col min="7420" max="7420" width="5.42578125" style="61" customWidth="1"/>
    <col min="7421" max="7421" width="35" style="61" customWidth="1"/>
    <col min="7422" max="7422" width="20" style="61" customWidth="1"/>
    <col min="7423" max="7423" width="13.28515625" style="61" bestFit="1" customWidth="1"/>
    <col min="7424" max="7424" width="20.7109375" style="61" customWidth="1"/>
    <col min="7425" max="7425" width="21" style="61" customWidth="1"/>
    <col min="7426" max="7426" width="20.140625" style="61" customWidth="1"/>
    <col min="7427" max="7427" width="20.140625" style="61" bestFit="1" customWidth="1"/>
    <col min="7428" max="7428" width="12" style="61" customWidth="1"/>
    <col min="7429" max="7429" width="5.85546875" style="61" customWidth="1"/>
    <col min="7430" max="7430" width="21.42578125" style="61" customWidth="1"/>
    <col min="7431" max="7431" width="11.42578125" style="61" customWidth="1"/>
    <col min="7432" max="7432" width="12.85546875" style="61" customWidth="1"/>
    <col min="7433" max="7433" width="7.7109375" style="61" customWidth="1"/>
    <col min="7434" max="7434" width="26.85546875" style="61" customWidth="1"/>
    <col min="7435" max="7438" width="11.42578125" style="61" customWidth="1"/>
    <col min="7439" max="7675" width="9.140625" style="61"/>
    <col min="7676" max="7676" width="5.42578125" style="61" customWidth="1"/>
    <col min="7677" max="7677" width="35" style="61" customWidth="1"/>
    <col min="7678" max="7678" width="20" style="61" customWidth="1"/>
    <col min="7679" max="7679" width="13.28515625" style="61" bestFit="1" customWidth="1"/>
    <col min="7680" max="7680" width="20.7109375" style="61" customWidth="1"/>
    <col min="7681" max="7681" width="21" style="61" customWidth="1"/>
    <col min="7682" max="7682" width="20.140625" style="61" customWidth="1"/>
    <col min="7683" max="7683" width="20.140625" style="61" bestFit="1" customWidth="1"/>
    <col min="7684" max="7684" width="12" style="61" customWidth="1"/>
    <col min="7685" max="7685" width="5.85546875" style="61" customWidth="1"/>
    <col min="7686" max="7686" width="21.42578125" style="61" customWidth="1"/>
    <col min="7687" max="7687" width="11.42578125" style="61" customWidth="1"/>
    <col min="7688" max="7688" width="12.85546875" style="61" customWidth="1"/>
    <col min="7689" max="7689" width="7.7109375" style="61" customWidth="1"/>
    <col min="7690" max="7690" width="26.85546875" style="61" customWidth="1"/>
    <col min="7691" max="7694" width="11.42578125" style="61" customWidth="1"/>
    <col min="7695" max="7931" width="9.140625" style="61"/>
    <col min="7932" max="7932" width="5.42578125" style="61" customWidth="1"/>
    <col min="7933" max="7933" width="35" style="61" customWidth="1"/>
    <col min="7934" max="7934" width="20" style="61" customWidth="1"/>
    <col min="7935" max="7935" width="13.28515625" style="61" bestFit="1" customWidth="1"/>
    <col min="7936" max="7936" width="20.7109375" style="61" customWidth="1"/>
    <col min="7937" max="7937" width="21" style="61" customWidth="1"/>
    <col min="7938" max="7938" width="20.140625" style="61" customWidth="1"/>
    <col min="7939" max="7939" width="20.140625" style="61" bestFit="1" customWidth="1"/>
    <col min="7940" max="7940" width="12" style="61" customWidth="1"/>
    <col min="7941" max="7941" width="5.85546875" style="61" customWidth="1"/>
    <col min="7942" max="7942" width="21.42578125" style="61" customWidth="1"/>
    <col min="7943" max="7943" width="11.42578125" style="61" customWidth="1"/>
    <col min="7944" max="7944" width="12.85546875" style="61" customWidth="1"/>
    <col min="7945" max="7945" width="7.7109375" style="61" customWidth="1"/>
    <col min="7946" max="7946" width="26.85546875" style="61" customWidth="1"/>
    <col min="7947" max="7950" width="11.42578125" style="61" customWidth="1"/>
    <col min="7951" max="8187" width="9.140625" style="61"/>
    <col min="8188" max="8188" width="5.42578125" style="61" customWidth="1"/>
    <col min="8189" max="8189" width="35" style="61" customWidth="1"/>
    <col min="8190" max="8190" width="20" style="61" customWidth="1"/>
    <col min="8191" max="8191" width="13.28515625" style="61" bestFit="1" customWidth="1"/>
    <col min="8192" max="8192" width="20.7109375" style="61" customWidth="1"/>
    <col min="8193" max="8193" width="21" style="61" customWidth="1"/>
    <col min="8194" max="8194" width="20.140625" style="61" customWidth="1"/>
    <col min="8195" max="8195" width="20.140625" style="61" bestFit="1" customWidth="1"/>
    <col min="8196" max="8196" width="12" style="61" customWidth="1"/>
    <col min="8197" max="8197" width="5.85546875" style="61" customWidth="1"/>
    <col min="8198" max="8198" width="21.42578125" style="61" customWidth="1"/>
    <col min="8199" max="8199" width="11.42578125" style="61" customWidth="1"/>
    <col min="8200" max="8200" width="12.85546875" style="61" customWidth="1"/>
    <col min="8201" max="8201" width="7.7109375" style="61" customWidth="1"/>
    <col min="8202" max="8202" width="26.85546875" style="61" customWidth="1"/>
    <col min="8203" max="8206" width="11.42578125" style="61" customWidth="1"/>
    <col min="8207" max="8443" width="9.140625" style="61"/>
    <col min="8444" max="8444" width="5.42578125" style="61" customWidth="1"/>
    <col min="8445" max="8445" width="35" style="61" customWidth="1"/>
    <col min="8446" max="8446" width="20" style="61" customWidth="1"/>
    <col min="8447" max="8447" width="13.28515625" style="61" bestFit="1" customWidth="1"/>
    <col min="8448" max="8448" width="20.7109375" style="61" customWidth="1"/>
    <col min="8449" max="8449" width="21" style="61" customWidth="1"/>
    <col min="8450" max="8450" width="20.140625" style="61" customWidth="1"/>
    <col min="8451" max="8451" width="20.140625" style="61" bestFit="1" customWidth="1"/>
    <col min="8452" max="8452" width="12" style="61" customWidth="1"/>
    <col min="8453" max="8453" width="5.85546875" style="61" customWidth="1"/>
    <col min="8454" max="8454" width="21.42578125" style="61" customWidth="1"/>
    <col min="8455" max="8455" width="11.42578125" style="61" customWidth="1"/>
    <col min="8456" max="8456" width="12.85546875" style="61" customWidth="1"/>
    <col min="8457" max="8457" width="7.7109375" style="61" customWidth="1"/>
    <col min="8458" max="8458" width="26.85546875" style="61" customWidth="1"/>
    <col min="8459" max="8462" width="11.42578125" style="61" customWidth="1"/>
    <col min="8463" max="16384" width="9.140625" style="61"/>
  </cols>
  <sheetData>
    <row r="1" spans="1:63" s="43" customFormat="1" ht="120" customHeight="1" thickBot="1" x14ac:dyDescent="0.35">
      <c r="A1" s="28"/>
      <c r="B1" s="29"/>
      <c r="C1" s="30"/>
      <c r="D1" s="30"/>
      <c r="E1" s="30"/>
      <c r="F1" s="30"/>
      <c r="G1" s="31"/>
      <c r="H1" s="41"/>
      <c r="I1" s="41"/>
      <c r="J1" s="41"/>
      <c r="K1" s="41"/>
      <c r="L1" s="41"/>
      <c r="M1" s="41"/>
      <c r="N1" s="41"/>
      <c r="O1" s="41"/>
      <c r="P1" s="41"/>
      <c r="Q1" s="41"/>
      <c r="R1" s="41"/>
      <c r="S1" s="41"/>
      <c r="T1" s="41"/>
      <c r="U1" s="41"/>
      <c r="V1" s="41"/>
      <c r="W1" s="42"/>
      <c r="X1" s="42"/>
      <c r="Y1" s="42"/>
      <c r="Z1" s="42"/>
      <c r="AA1" s="42"/>
      <c r="AB1" s="42"/>
      <c r="AC1" s="42"/>
      <c r="AD1" s="42"/>
      <c r="AE1" s="42"/>
      <c r="AF1" s="42"/>
      <c r="AG1" s="42"/>
      <c r="AH1" s="42"/>
      <c r="AI1" s="42"/>
      <c r="AJ1" s="42"/>
      <c r="AK1" s="42"/>
      <c r="AL1" s="42"/>
      <c r="AM1" s="42"/>
      <c r="AN1" s="42"/>
      <c r="AO1" s="42"/>
      <c r="AP1" s="42"/>
      <c r="AQ1" s="42"/>
      <c r="AR1" s="42"/>
      <c r="AS1" s="42"/>
      <c r="AT1" s="42"/>
      <c r="AU1" s="42"/>
      <c r="AW1" s="37"/>
      <c r="AX1" s="37"/>
      <c r="AY1" s="37"/>
      <c r="AZ1" s="37"/>
      <c r="BA1" s="37"/>
      <c r="BB1" s="37"/>
      <c r="BC1" s="37"/>
      <c r="BD1" s="37"/>
      <c r="BH1" s="31"/>
      <c r="BI1" s="31"/>
      <c r="BJ1" s="31"/>
      <c r="BK1" s="31"/>
    </row>
    <row r="2" spans="1:63" s="50" customFormat="1" ht="18" customHeight="1" x14ac:dyDescent="0.3">
      <c r="A2" s="222"/>
      <c r="B2" s="227"/>
      <c r="C2" s="228"/>
      <c r="D2" s="228"/>
      <c r="E2" s="228"/>
      <c r="F2" s="228"/>
      <c r="G2" s="222"/>
      <c r="AW2" s="49"/>
      <c r="AX2" s="49"/>
      <c r="AY2" s="49"/>
      <c r="AZ2" s="49"/>
      <c r="BA2" s="49"/>
      <c r="BB2" s="49"/>
      <c r="BC2" s="49"/>
      <c r="BD2" s="49"/>
      <c r="BH2" s="222"/>
      <c r="BI2" s="222"/>
      <c r="BJ2" s="222"/>
      <c r="BK2" s="222"/>
    </row>
    <row r="3" spans="1:63" s="50" customFormat="1" ht="18" customHeight="1" x14ac:dyDescent="0.35">
      <c r="A3" s="229" t="s">
        <v>1471</v>
      </c>
      <c r="B3" s="227"/>
      <c r="C3" s="228"/>
      <c r="D3" s="228"/>
      <c r="E3" s="228"/>
      <c r="F3" s="480" t="s">
        <v>723</v>
      </c>
      <c r="G3" s="222"/>
      <c r="AW3" s="49"/>
      <c r="AX3" s="49"/>
      <c r="AY3" s="49"/>
      <c r="AZ3" s="49"/>
      <c r="BA3" s="49"/>
      <c r="BB3" s="49"/>
      <c r="BC3" s="49"/>
      <c r="BD3" s="49"/>
      <c r="BH3" s="222"/>
      <c r="BI3" s="222"/>
      <c r="BJ3" s="222"/>
      <c r="BK3" s="222"/>
    </row>
    <row r="4" spans="1:63" s="50" customFormat="1" ht="18" customHeight="1" x14ac:dyDescent="0.35">
      <c r="A4" s="229" t="s">
        <v>1565</v>
      </c>
      <c r="B4" s="227"/>
      <c r="C4" s="228"/>
      <c r="D4" s="228"/>
      <c r="E4" s="228"/>
      <c r="F4" s="228"/>
      <c r="G4" s="222"/>
      <c r="AW4" s="49"/>
      <c r="AX4" s="49"/>
      <c r="AY4" s="49"/>
      <c r="AZ4" s="49"/>
      <c r="BA4" s="49"/>
      <c r="BB4" s="49"/>
      <c r="BC4" s="49"/>
      <c r="BD4" s="49"/>
      <c r="BH4" s="222"/>
      <c r="BI4" s="222"/>
      <c r="BJ4" s="222"/>
      <c r="BK4" s="222"/>
    </row>
    <row r="5" spans="1:63" s="50" customFormat="1" ht="35.25" customHeight="1" x14ac:dyDescent="0.3">
      <c r="A5" s="222"/>
      <c r="B5" s="227"/>
      <c r="C5" s="228"/>
      <c r="D5" s="228"/>
      <c r="E5" s="228"/>
      <c r="F5" s="228"/>
      <c r="G5" s="222"/>
      <c r="AW5" s="49"/>
      <c r="AX5" s="49"/>
      <c r="AY5" s="49"/>
      <c r="AZ5" s="49"/>
      <c r="BA5" s="49"/>
      <c r="BB5" s="49"/>
      <c r="BC5" s="49"/>
      <c r="BD5" s="49"/>
      <c r="BH5" s="222"/>
      <c r="BI5" s="222"/>
      <c r="BJ5" s="222"/>
      <c r="BK5" s="222"/>
    </row>
    <row r="6" spans="1:63" ht="20.100000000000001" customHeight="1" x14ac:dyDescent="0.25">
      <c r="B6" s="59"/>
      <c r="C6" s="59"/>
      <c r="D6" s="59"/>
      <c r="E6" s="59"/>
      <c r="F6" s="59"/>
      <c r="G6" s="59"/>
      <c r="X6" s="61"/>
    </row>
    <row r="7" spans="1:63" ht="20.100000000000001" customHeight="1" x14ac:dyDescent="0.25">
      <c r="A7" s="597" t="s">
        <v>1575</v>
      </c>
      <c r="B7" s="598"/>
      <c r="C7" s="598"/>
      <c r="D7" s="598"/>
      <c r="E7" s="59"/>
      <c r="F7" s="59"/>
      <c r="G7" s="59"/>
      <c r="J7" s="599" t="s">
        <v>1566</v>
      </c>
      <c r="K7" s="599"/>
      <c r="L7" s="599"/>
      <c r="M7" s="599"/>
      <c r="N7" s="599"/>
      <c r="O7" s="599"/>
      <c r="P7" s="232"/>
      <c r="Q7" s="232"/>
      <c r="R7" s="232"/>
      <c r="S7" s="232"/>
      <c r="T7" s="232"/>
      <c r="U7" s="232"/>
      <c r="V7" s="232"/>
      <c r="X7" s="61"/>
    </row>
    <row r="8" spans="1:63" ht="15" customHeight="1" x14ac:dyDescent="0.25">
      <c r="A8" s="598"/>
      <c r="B8" s="598"/>
      <c r="C8" s="598"/>
      <c r="D8" s="598"/>
      <c r="E8" s="62"/>
      <c r="F8" s="62"/>
      <c r="G8" s="62"/>
      <c r="J8" s="599"/>
      <c r="K8" s="599"/>
      <c r="L8" s="599"/>
      <c r="M8" s="599"/>
      <c r="N8" s="599"/>
      <c r="O8" s="599"/>
      <c r="P8" s="232"/>
      <c r="Q8" s="232"/>
      <c r="R8" s="232"/>
      <c r="S8" s="232"/>
      <c r="T8" s="232"/>
      <c r="U8" s="232"/>
      <c r="V8" s="232"/>
      <c r="X8" s="61"/>
    </row>
    <row r="9" spans="1:63" s="233" customFormat="1" ht="51.75" customHeight="1" thickBot="1" x14ac:dyDescent="0.3">
      <c r="A9" s="598"/>
      <c r="B9" s="598"/>
      <c r="C9" s="598"/>
      <c r="D9" s="598"/>
      <c r="E9" s="62"/>
      <c r="F9" s="62"/>
      <c r="G9" s="62"/>
      <c r="J9" s="599"/>
      <c r="K9" s="599"/>
      <c r="L9" s="599"/>
      <c r="M9" s="599"/>
      <c r="N9" s="599"/>
      <c r="O9" s="599"/>
      <c r="P9" s="232"/>
      <c r="Q9" s="232"/>
      <c r="R9" s="232"/>
      <c r="S9" s="232"/>
      <c r="T9" s="232"/>
      <c r="U9" s="232"/>
      <c r="V9" s="232"/>
      <c r="BH9" s="234"/>
      <c r="BI9" s="234"/>
      <c r="BJ9" s="234"/>
      <c r="BK9" s="234"/>
    </row>
    <row r="10" spans="1:63" s="59" customFormat="1" ht="20.25" customHeight="1" thickBot="1" x14ac:dyDescent="0.3">
      <c r="A10" s="598"/>
      <c r="B10" s="598"/>
      <c r="C10" s="598"/>
      <c r="D10" s="598"/>
      <c r="E10" s="612" t="s">
        <v>757</v>
      </c>
      <c r="F10" s="613"/>
      <c r="G10" s="95" t="s">
        <v>1478</v>
      </c>
      <c r="J10" s="599"/>
      <c r="K10" s="599"/>
      <c r="L10" s="599"/>
      <c r="M10" s="599"/>
      <c r="N10" s="599"/>
      <c r="O10" s="599"/>
      <c r="Y10" s="61"/>
      <c r="AK10" s="61"/>
      <c r="AL10" s="61"/>
      <c r="AM10" s="61"/>
      <c r="AN10" s="61"/>
      <c r="AO10" s="61"/>
      <c r="AP10" s="61"/>
      <c r="AQ10" s="61"/>
      <c r="AR10" s="61"/>
      <c r="AS10" s="61"/>
      <c r="AT10" s="61"/>
      <c r="AU10" s="61"/>
      <c r="BH10" s="235"/>
      <c r="BI10" s="235"/>
      <c r="BJ10" s="235"/>
      <c r="BK10" s="235"/>
    </row>
    <row r="11" spans="1:63" s="59" customFormat="1" ht="22.5" customHeight="1" thickBot="1" x14ac:dyDescent="0.3">
      <c r="A11" s="598"/>
      <c r="B11" s="598"/>
      <c r="C11" s="598"/>
      <c r="D11" s="598"/>
      <c r="E11" s="612" t="s">
        <v>758</v>
      </c>
      <c r="F11" s="613"/>
      <c r="G11" s="95" t="s">
        <v>1478</v>
      </c>
      <c r="J11" s="599"/>
      <c r="K11" s="599"/>
      <c r="L11" s="599"/>
      <c r="M11" s="599"/>
      <c r="N11" s="599"/>
      <c r="O11" s="599"/>
      <c r="Y11" s="61"/>
      <c r="AK11" s="61"/>
      <c r="AL11" s="61"/>
      <c r="AM11" s="61"/>
      <c r="AN11" s="61"/>
      <c r="AO11" s="61"/>
      <c r="AP11" s="61"/>
      <c r="AQ11" s="61"/>
      <c r="AR11" s="61"/>
      <c r="AS11" s="61"/>
      <c r="AT11" s="61"/>
      <c r="AU11" s="61"/>
      <c r="BH11" s="235"/>
      <c r="BI11" s="235"/>
      <c r="BJ11" s="235"/>
      <c r="BK11" s="235"/>
    </row>
    <row r="12" spans="1:63" s="59" customFormat="1" ht="31.5" customHeight="1" x14ac:dyDescent="0.25">
      <c r="A12" s="598"/>
      <c r="B12" s="598"/>
      <c r="C12" s="598"/>
      <c r="D12" s="598"/>
      <c r="E12" s="62"/>
      <c r="F12" s="62"/>
      <c r="G12" s="63"/>
      <c r="K12" s="236"/>
      <c r="L12" s="236"/>
      <c r="M12" s="236"/>
      <c r="N12" s="236"/>
      <c r="O12" s="236"/>
      <c r="P12" s="236"/>
      <c r="Q12" s="236"/>
      <c r="S12" s="614" t="s">
        <v>1568</v>
      </c>
      <c r="T12" s="614"/>
      <c r="U12" s="614"/>
      <c r="V12" s="614"/>
      <c r="W12" s="614"/>
      <c r="Z12" s="615" t="s">
        <v>1580</v>
      </c>
      <c r="AA12" s="615"/>
      <c r="AB12" s="615"/>
      <c r="AC12" s="615"/>
      <c r="AD12" s="615"/>
      <c r="AE12" s="615"/>
      <c r="AF12" s="615"/>
      <c r="AG12" s="615"/>
      <c r="AH12" s="615"/>
      <c r="AI12" s="615"/>
      <c r="AJ12" s="615"/>
      <c r="BH12" s="235"/>
      <c r="BI12" s="235"/>
      <c r="BJ12" s="235"/>
      <c r="BK12" s="235"/>
    </row>
    <row r="13" spans="1:63" ht="17.25" customHeight="1" thickBot="1" x14ac:dyDescent="0.35">
      <c r="A13" s="598"/>
      <c r="B13" s="598"/>
      <c r="C13" s="598"/>
      <c r="D13" s="598"/>
      <c r="E13" s="62"/>
      <c r="F13" s="62"/>
      <c r="G13" s="62"/>
      <c r="H13" s="237"/>
      <c r="I13" s="237"/>
      <c r="J13" s="290" t="s">
        <v>1567</v>
      </c>
      <c r="K13" s="238"/>
      <c r="L13" s="239"/>
      <c r="M13" s="239"/>
      <c r="N13" s="239"/>
      <c r="O13" s="239"/>
      <c r="P13" s="239"/>
      <c r="Q13" s="239"/>
      <c r="U13" s="240"/>
      <c r="V13" s="240"/>
      <c r="X13" s="59"/>
      <c r="Y13" s="59"/>
      <c r="Z13" s="615"/>
      <c r="AA13" s="615"/>
      <c r="AB13" s="615"/>
      <c r="AC13" s="615"/>
      <c r="AD13" s="615"/>
      <c r="AE13" s="615"/>
      <c r="AF13" s="615"/>
      <c r="AG13" s="615"/>
      <c r="AH13" s="615"/>
      <c r="AI13" s="615"/>
      <c r="AJ13" s="615"/>
      <c r="AK13" s="59"/>
      <c r="AL13" s="59"/>
      <c r="AM13" s="59"/>
      <c r="AN13" s="59"/>
      <c r="AO13" s="59"/>
      <c r="AP13" s="59"/>
      <c r="AQ13" s="59"/>
      <c r="AR13" s="59"/>
      <c r="AS13" s="59"/>
      <c r="AT13" s="59"/>
      <c r="AU13" s="59"/>
    </row>
    <row r="14" spans="1:63" ht="15" customHeight="1" thickBot="1" x14ac:dyDescent="0.3">
      <c r="A14" s="241"/>
      <c r="B14" s="242"/>
      <c r="C14" s="243"/>
      <c r="D14" s="239"/>
      <c r="E14" s="243"/>
      <c r="F14" s="243"/>
      <c r="G14" s="239"/>
      <c r="J14" s="603" t="s">
        <v>717</v>
      </c>
      <c r="K14" s="604"/>
      <c r="L14" s="604"/>
      <c r="M14" s="604"/>
      <c r="N14" s="604"/>
      <c r="O14" s="605"/>
      <c r="P14" s="606" t="s">
        <v>718</v>
      </c>
      <c r="Q14" s="607"/>
      <c r="R14" s="607"/>
      <c r="S14" s="608"/>
      <c r="T14" s="609" t="s">
        <v>719</v>
      </c>
      <c r="U14" s="610"/>
      <c r="V14" s="610"/>
      <c r="W14" s="611"/>
      <c r="X14" s="59"/>
      <c r="Y14" s="59"/>
      <c r="Z14" s="244"/>
      <c r="AA14" s="244"/>
      <c r="AB14" s="244"/>
      <c r="AC14" s="244"/>
      <c r="AD14" s="244"/>
      <c r="AE14" s="244"/>
      <c r="AF14" s="244"/>
      <c r="AG14" s="244"/>
      <c r="AH14" s="244"/>
      <c r="AI14" s="244"/>
      <c r="AJ14" s="244"/>
      <c r="AK14" s="59"/>
      <c r="AL14" s="59"/>
      <c r="AM14" s="59"/>
      <c r="AN14" s="59"/>
      <c r="AO14" s="59"/>
      <c r="AP14" s="59"/>
      <c r="AQ14" s="59"/>
      <c r="AR14" s="59"/>
      <c r="AS14" s="59"/>
      <c r="AT14" s="59"/>
      <c r="AU14" s="59"/>
    </row>
    <row r="15" spans="1:63" ht="42.75" customHeight="1" thickBot="1" x14ac:dyDescent="0.3">
      <c r="A15" s="4" t="s">
        <v>664</v>
      </c>
      <c r="B15" s="4" t="s">
        <v>3</v>
      </c>
      <c r="C15" s="245" t="s">
        <v>665</v>
      </c>
      <c r="D15" s="245" t="s">
        <v>1574</v>
      </c>
      <c r="E15" s="246" t="s">
        <v>666</v>
      </c>
      <c r="F15" s="246" t="s">
        <v>667</v>
      </c>
      <c r="G15" s="4" t="s">
        <v>756</v>
      </c>
      <c r="J15" s="247" t="s">
        <v>664</v>
      </c>
      <c r="K15" s="248" t="s">
        <v>668</v>
      </c>
      <c r="L15" s="248" t="s">
        <v>669</v>
      </c>
      <c r="M15" s="248" t="s">
        <v>670</v>
      </c>
      <c r="N15" s="248" t="s">
        <v>671</v>
      </c>
      <c r="O15" s="249" t="s">
        <v>672</v>
      </c>
      <c r="P15" s="250" t="s">
        <v>731</v>
      </c>
      <c r="Q15" s="251" t="s">
        <v>732</v>
      </c>
      <c r="R15" s="251" t="s">
        <v>733</v>
      </c>
      <c r="S15" s="252" t="s">
        <v>734</v>
      </c>
      <c r="T15" s="468" t="s">
        <v>735</v>
      </c>
      <c r="U15" s="469" t="s">
        <v>736</v>
      </c>
      <c r="V15" s="469" t="s">
        <v>737</v>
      </c>
      <c r="W15" s="470" t="s">
        <v>738</v>
      </c>
      <c r="X15" s="59"/>
      <c r="Y15" s="59"/>
      <c r="Z15" s="291"/>
      <c r="AA15" s="291"/>
      <c r="AB15" s="291"/>
      <c r="AC15" s="291"/>
      <c r="AD15" s="291"/>
      <c r="AE15" s="292"/>
      <c r="AF15" s="292"/>
      <c r="AG15" s="292"/>
      <c r="AH15" s="292"/>
      <c r="AI15" s="292"/>
      <c r="AJ15" s="292"/>
      <c r="AK15" s="253"/>
      <c r="AL15" s="254"/>
      <c r="AM15" s="254"/>
      <c r="AN15" s="254"/>
      <c r="AO15" s="254"/>
      <c r="AP15" s="254"/>
      <c r="AQ15" s="254"/>
      <c r="AR15" s="254"/>
      <c r="AS15" s="254"/>
      <c r="AT15" s="254"/>
      <c r="AU15" s="254"/>
      <c r="AV15" s="59"/>
    </row>
    <row r="16" spans="1:63" ht="21" customHeight="1" x14ac:dyDescent="0.25">
      <c r="A16" s="58">
        <v>1</v>
      </c>
      <c r="B16" s="363">
        <v>300</v>
      </c>
      <c r="C16" s="58">
        <v>5</v>
      </c>
      <c r="D16" s="58">
        <v>20</v>
      </c>
      <c r="E16" s="282">
        <f>(Forest_data[[#This Row],[Mean diameter at breast height (DBH) (cm)]]/200)^2*PI()*Forest_data[[#This Row],[Number of trees per ha]]</f>
        <v>9.4247779607693793</v>
      </c>
      <c r="F16" s="282">
        <f>Forest_data[[#This Row],[Basal area (m²/ha)]]*Forest_data[[#This Row],[Height (m)]]*Forest_data[[#This Row],[Form factor ]]</f>
        <v>23.561944901923447</v>
      </c>
      <c r="G16" s="5">
        <v>0.5</v>
      </c>
      <c r="I16" s="83">
        <v>1</v>
      </c>
      <c r="J16" s="255">
        <v>1</v>
      </c>
      <c r="K16" s="256">
        <f>IF(ISNUMBER(J16),LOOKUP(J16, Forest_data[[#All],[Age]],Forest_data[[#All],[Number of trees per ha]]),"")</f>
        <v>300</v>
      </c>
      <c r="L16" s="257">
        <f>IF(ISNUMBER(J16),IF(ISNA(VLOOKUP(J16,Forest_data[#All],3,FALSE)),#N/A, VLOOKUP(J16,Forest_data[#All],3,FALSE)),"")</f>
        <v>5</v>
      </c>
      <c r="M16" s="257">
        <f>IF(ISNUMBER(J16),IF(ISNA(VLOOKUP(J16,Forest_data[#All],4,FALSE)),#N/A, VLOOKUP(J16,Forest_data[#All],4,FALSE)),"")</f>
        <v>20</v>
      </c>
      <c r="N16" s="257">
        <f>IF(ISNUMBER(J16),IF(ISNA(VLOOKUP(J16,Forest_data[#All],5,FALSE)),#N/A, VLOOKUP(J16,Forest_data[#All],5,FALSE)),"")</f>
        <v>9.4247779607693793</v>
      </c>
      <c r="O16" s="257">
        <f>IF(ISNUMBER(J16),IF(ISNA(VLOOKUP(J16,Forest_data[#All],6,FALSE)),#N/A, VLOOKUP(J16,Forest_data[#All],6,FALSE)),"")</f>
        <v>23.561944901923447</v>
      </c>
      <c r="P16" s="257">
        <f>IF(ISNUMBER(J16),IF($B$82*POWER(J16,2)+$C$82*J16+$D$82&lt;0,L16,$B$82*POWER(J16,2)+$C$82*J16+$D$82),"")</f>
        <v>4.5438202635379268</v>
      </c>
      <c r="Q16" s="257">
        <f t="shared" ref="Q16:Q79" si="0">IF(ISNUMBER(J16),IF($B$85*POWER(J16,2)+$C$85*J16+$D$85&lt;0,M16,$B$85*POWER(J16,2)+$C$85*J16+$D$85),"")</f>
        <v>21.038304778284431</v>
      </c>
      <c r="R16" s="257">
        <f>IF(ISNUMBER(J16),IF($B$88*POWER(J16,2)+$C$88*J16+$D$88&lt;0,N16,$B$88*POWER(J16,2)+$C$88*J16+$D$88),"")</f>
        <v>10.315216238005592</v>
      </c>
      <c r="S16" s="283">
        <f t="shared" ref="S16:S79" si="1">IF(ISNUMBER(J16),IF($B$91*POWER(J16,2)+$C$91*J16+$D$91&lt;0,O16,$B$91*POWER(J16,2)+$C$91*J16+$D$91),"")</f>
        <v>24.654371555863754</v>
      </c>
      <c r="T16" s="258">
        <f t="shared" ref="T16:T79" si="2">IF(ISNUMBER(J16),IF(+$B$83*POWER(J16,3)+$C$83*POWER(J16,2)+$D$83*POWER(J16,1)+$E$83&lt;0,L16,+$B$83*POWER(J16,3)+$C$83*POWER(J16,2)+$D$83*POWER(J16,1)+$E$83),"")</f>
        <v>4.9957890336112261</v>
      </c>
      <c r="U16" s="257">
        <f t="shared" ref="U16:U79" si="3">IF(ISNUMBER(J16),IF(+$B$86*POWER(J16,3)+$C$86*POWER(J16,2)+$D$86*POWER(J16,1)+$E$86&lt;0,M16,+$B$86*POWER(J16,3)+$C$86*POWER(J16,2)+$D$86*POWER(J16,1)+$E$86),"")</f>
        <v>19.775594825589454</v>
      </c>
      <c r="V16" s="257">
        <f>IF(ISNUMBER(J16),IF(+$B$89*POWER(J16,3)+$C$89*POWER(J16,2)+$D$89*POWER(J16,1)+$E$89&lt;0,N16,+$B$89*POWER(J16,3)+$C$89*POWER(J16,2)+$D$89*POWER(J16,1)+$E$89),"")</f>
        <v>9.2339686355955113</v>
      </c>
      <c r="W16" s="283">
        <f>IF(ISNUMBER(J16),IF(+$B$92*POWER(J16,3)+$C$92*POWER(J16,2)+$D$92*POWER(J16,1)+$E$92&lt;0,O16,+$B$92*POWER(J16,3)+$C$92*POWER(J16,2)+$D$92*POWER(J16,1)+$E$92),"")</f>
        <v>22.625353922446127</v>
      </c>
      <c r="X16" s="236"/>
      <c r="Y16" s="253"/>
      <c r="Z16" s="293"/>
      <c r="AA16" s="600" t="s">
        <v>1569</v>
      </c>
      <c r="AB16" s="600"/>
      <c r="AC16" s="293"/>
      <c r="AD16" s="293"/>
      <c r="AE16" s="291"/>
      <c r="AF16" s="291"/>
      <c r="AG16" s="293"/>
      <c r="AH16" s="293"/>
      <c r="AI16" s="293"/>
      <c r="AJ16" s="293"/>
      <c r="AK16" s="253"/>
      <c r="AL16" s="253"/>
      <c r="AM16" s="253"/>
      <c r="AN16" s="253"/>
      <c r="AO16" s="253"/>
      <c r="AP16" s="253"/>
      <c r="AQ16" s="253"/>
      <c r="AR16" s="253"/>
      <c r="AS16" s="253"/>
      <c r="AT16" s="253"/>
      <c r="AU16" s="253"/>
      <c r="AV16" s="59"/>
    </row>
    <row r="17" spans="1:61" ht="21" customHeight="1" x14ac:dyDescent="0.25">
      <c r="A17" s="58">
        <v>5</v>
      </c>
      <c r="B17" s="363">
        <v>290</v>
      </c>
      <c r="C17" s="58">
        <v>5</v>
      </c>
      <c r="D17" s="58">
        <v>22</v>
      </c>
      <c r="E17" s="282">
        <f>(Forest_data[[#This Row],[Mean diameter at breast height (DBH) (cm)]]/200)^2*PI()*Forest_data[[#This Row],[Number of trees per ha]]</f>
        <v>11.023848621446584</v>
      </c>
      <c r="F17" s="282">
        <f>Forest_data[[#This Row],[Basal area (m²/ha)]]*Forest_data[[#This Row],[Height (m)]]*Forest_data[[#This Row],[Form factor ]]</f>
        <v>27.559621553616459</v>
      </c>
      <c r="G17" s="5">
        <v>0.5</v>
      </c>
      <c r="I17" s="83">
        <v>2</v>
      </c>
      <c r="J17" s="255">
        <f>IF(I17&lt;=MAX(Forest_data[Age]),I17,"")</f>
        <v>2</v>
      </c>
      <c r="K17" s="256">
        <f>IF(ISNUMBER(J17),LOOKUP(J17, Forest_data[[#All],[Age]],Forest_data[[#All],[Number of trees per ha]]),"")</f>
        <v>300</v>
      </c>
      <c r="L17" s="257" t="e">
        <f>IF(ISNUMBER(J17),IF(ISNA(VLOOKUP(J17,Forest_data[#All],3,FALSE)),#N/A, VLOOKUP(J17,Forest_data[#All],3,FALSE)),"")</f>
        <v>#N/A</v>
      </c>
      <c r="M17" s="257" t="e">
        <f>IF(ISNUMBER(J17),IF(ISNA(VLOOKUP(J17,Forest_data[#All],4,FALSE)),#N/A, VLOOKUP(J17,Forest_data[#All],4,FALSE)),"")</f>
        <v>#N/A</v>
      </c>
      <c r="N17" s="257" t="e">
        <f>IF(ISNUMBER(J17),IF(ISNA(VLOOKUP(J17,Forest_data[#All],5,FALSE)),#N/A, VLOOKUP(J17,Forest_data[#All],5,FALSE)),"")</f>
        <v>#N/A</v>
      </c>
      <c r="O17" s="257" t="e">
        <f>IF(ISNUMBER(J17),IF(ISNA(VLOOKUP(J17,Forest_data[#All],6,FALSE)),#N/A, VLOOKUP(J17,Forest_data[#All],6,FALSE)),"")</f>
        <v>#N/A</v>
      </c>
      <c r="P17" s="257">
        <f>IF(ISNUMBER(J17),IF($B$82*POWER(J17,2)+$C$82*J17+$D$82&lt;0,L17,$B$82*POWER(J17,2)+$C$82*J17+$D$82),"")</f>
        <v>4.9511708881401493</v>
      </c>
      <c r="Q17" s="257">
        <f t="shared" si="0"/>
        <v>20.938286210768869</v>
      </c>
      <c r="R17" s="257">
        <f>IF(ISNUMBER(J17),IF($B$88*POWER(J17,2)+$C$88*J17+$D$88&lt;0,N17,$B$88*POWER(J17,2)+$C$88*J17+$D$88),"")</f>
        <v>10.175127081505821</v>
      </c>
      <c r="S17" s="283">
        <f>IF(ISNUMBER(J17),IF($B$91*POWER(J17,2)+$C$91*J17+$D$91&lt;0,O17,$B$91*POWER(J17,2)+$C$91*J17+$D$91),"")</f>
        <v>25.885108394812569</v>
      </c>
      <c r="T17" s="258">
        <f t="shared" si="2"/>
        <v>4.4522666767041912</v>
      </c>
      <c r="U17" s="257">
        <f t="shared" si="3"/>
        <v>22.332124358301648</v>
      </c>
      <c r="V17" s="257">
        <f t="shared" ref="V17:V80" si="4">IF(ISNUMBER(J17),IF(+$B$89*POWER(J17,3)+$C$89*POWER(J17,2)+$D$89*POWER(J17,1)+$E$89&lt;0,M17,+$B$89*POWER(J17,3)+$C$89*POWER(J17,2)+$D$89*POWER(J17,1)+$E$89),"")</f>
        <v>11.368658622103062</v>
      </c>
      <c r="W17" s="283">
        <f>IF(ISNUMBER(J17),IF(+$B$92*POWER(J17,3)+$C$92*POWER(J17,2)+$D$92*POWER(J17,1)+$E$92&lt;0,O17,+$B$92*POWER(J17,3)+$C$92*POWER(J17,2)+$D$92*POWER(J17,1)+$E$92),"")</f>
        <v>28.124832706352294</v>
      </c>
      <c r="X17" s="253"/>
      <c r="Y17" s="253"/>
      <c r="Z17" s="293"/>
      <c r="AA17" s="293"/>
      <c r="AB17" s="293"/>
      <c r="AC17" s="291"/>
      <c r="AD17" s="293"/>
      <c r="AE17" s="293"/>
      <c r="AF17" s="293"/>
      <c r="AG17" s="293"/>
      <c r="AH17" s="293"/>
      <c r="AI17" s="293"/>
      <c r="AJ17" s="293"/>
      <c r="AK17" s="253"/>
      <c r="AL17" s="253"/>
      <c r="AM17" s="253"/>
      <c r="AN17" s="253"/>
      <c r="AO17" s="253"/>
      <c r="AP17" s="253"/>
      <c r="AQ17" s="253"/>
      <c r="AR17" s="253"/>
      <c r="AS17" s="253"/>
      <c r="AT17" s="253"/>
      <c r="AU17" s="253"/>
      <c r="AV17" s="59"/>
    </row>
    <row r="18" spans="1:61" s="259" customFormat="1" ht="21" customHeight="1" x14ac:dyDescent="0.25">
      <c r="A18" s="58">
        <v>8</v>
      </c>
      <c r="B18" s="363">
        <v>295</v>
      </c>
      <c r="C18" s="58">
        <v>7.5121973452622681</v>
      </c>
      <c r="D18" s="58">
        <v>21</v>
      </c>
      <c r="E18" s="282">
        <f>(Forest_data[[#This Row],[Mean diameter at breast height (DBH) (cm)]]/200)^2*PI()*Forest_data[[#This Row],[Number of trees per ha]]</f>
        <v>10.217637406719103</v>
      </c>
      <c r="F18" s="282">
        <f>Forest_data[[#This Row],[Basal area (m²/ha)]]*Forest_data[[#This Row],[Height (m)]]*Forest_data[[#This Row],[Form factor ]]</f>
        <v>38.378454300803845</v>
      </c>
      <c r="G18" s="5">
        <v>0.5</v>
      </c>
      <c r="I18" s="260">
        <v>3</v>
      </c>
      <c r="J18" s="255">
        <f>IF(I18&lt;=MAX(Forest_data[Age]),I18,"")</f>
        <v>3</v>
      </c>
      <c r="K18" s="256">
        <f>IF(ISNUMBER(J18),LOOKUP(J18, Forest_data[[#All],[Age]],Forest_data[[#All],[Number of trees per ha]]),"")</f>
        <v>300</v>
      </c>
      <c r="L18" s="257" t="e">
        <f>IF(ISNUMBER(J18),IF(ISNA(VLOOKUP(J18,Forest_data[#All],3,FALSE)),#N/A, VLOOKUP(J18,Forest_data[#All],3,FALSE)),"")</f>
        <v>#N/A</v>
      </c>
      <c r="M18" s="257" t="e">
        <f>IF(ISNUMBER(J18),IF(ISNA(VLOOKUP(J18,Forest_data[#All],4,FALSE)),#N/A, VLOOKUP(J18,Forest_data[#All],4,FALSE)),"")</f>
        <v>#N/A</v>
      </c>
      <c r="N18" s="257" t="e">
        <f>IF(ISNUMBER(J18),IF(ISNA(VLOOKUP(J18,Forest_data[#All],5,FALSE)),#N/A, VLOOKUP(J18,Forest_data[#All],5,FALSE)),"")</f>
        <v>#N/A</v>
      </c>
      <c r="O18" s="257" t="e">
        <f>IF(ISNUMBER(J18),IF(ISNA(VLOOKUP(J18,Forest_data[#All],6,FALSE)),#N/A, VLOOKUP(J18,Forest_data[#All],6,FALSE)),"")</f>
        <v>#N/A</v>
      </c>
      <c r="P18" s="257">
        <f t="shared" ref="P18:P81" si="5">IF(ISNUMBER(J18),IF($B$82*POWER(J18,2)+$C$82*J18+$D$82&lt;0,L18,$B$82*POWER(J18,2)+$C$82*J18+$D$82),"")</f>
        <v>5.35928654073901</v>
      </c>
      <c r="Q18" s="257">
        <f t="shared" si="0"/>
        <v>20.748246810333434</v>
      </c>
      <c r="R18" s="257">
        <f t="shared" ref="R18:R80" si="6">IF(ISNUMBER(J18),IF($B$88*POWER(J18,2)+$C$88*J18+$D$88&lt;0,M18,$B$88*POWER(J18,2)+$C$88*J18+$D$88),"")</f>
        <v>9.9737868496511801</v>
      </c>
      <c r="S18" s="283">
        <f>IF(ISNUMBER(J18),IF($B$91*POWER(J18,2)+$C$91*J18+$D$91&lt;0,O18,$B$91*POWER(J18,2)+$C$91*J18+$D$91),"")</f>
        <v>26.83469089354854</v>
      </c>
      <c r="T18" s="258">
        <f t="shared" si="2"/>
        <v>4.3216411278928888</v>
      </c>
      <c r="U18" s="257">
        <f t="shared" si="3"/>
        <v>23.647219652984955</v>
      </c>
      <c r="V18" s="257">
        <f t="shared" si="4"/>
        <v>12.456152201154863</v>
      </c>
      <c r="W18" s="283">
        <f t="shared" ref="W18:W79" si="7">IF(ISNUMBER(J18),IF(+$B$92*POWER(J18,3)+$C$92*POWER(J18,2)+$D$92*POWER(J18,1)+$E$92&lt;0,O18,+$B$92*POWER(J18,3)+$C$92*POWER(J18,2)+$D$92*POWER(J18,1)+$E$92),"")</f>
        <v>31.492979207491658</v>
      </c>
      <c r="X18" s="253"/>
      <c r="Y18" s="253"/>
      <c r="Z18" s="293"/>
      <c r="AA18" s="601" t="s">
        <v>673</v>
      </c>
      <c r="AB18" s="602"/>
      <c r="AC18" s="295">
        <v>15</v>
      </c>
      <c r="AD18" s="294"/>
      <c r="AE18" s="293"/>
      <c r="AF18" s="293"/>
      <c r="AG18" s="293"/>
      <c r="AH18" s="293"/>
      <c r="AI18" s="293"/>
      <c r="AJ18" s="293"/>
      <c r="AK18" s="253"/>
      <c r="AL18" s="253"/>
      <c r="AM18" s="253"/>
      <c r="AN18" s="253"/>
      <c r="AO18" s="253"/>
      <c r="AP18" s="253"/>
      <c r="AQ18" s="253"/>
      <c r="AR18" s="253"/>
      <c r="AS18" s="253"/>
      <c r="AT18" s="253"/>
      <c r="AU18" s="253"/>
      <c r="AV18" s="59"/>
    </row>
    <row r="19" spans="1:61" ht="21" customHeight="1" x14ac:dyDescent="0.25">
      <c r="A19" s="58">
        <v>10</v>
      </c>
      <c r="B19" s="363">
        <v>250</v>
      </c>
      <c r="C19" s="58">
        <v>9.1746395203852966</v>
      </c>
      <c r="D19" s="58">
        <v>12.427684326232722</v>
      </c>
      <c r="E19" s="282">
        <f>(Forest_data[[#This Row],[Mean diameter at breast height (DBH) (cm)]]/200)^2*PI()*Forest_data[[#This Row],[Number of trees per ha]]</f>
        <v>3.0325663845253858</v>
      </c>
      <c r="F19" s="282">
        <f>Forest_data[[#This Row],[Basal area (m²/ha)]]*Forest_data[[#This Row],[Height (m)]]*Forest_data[[#This Row],[Form factor ]]</f>
        <v>13.911351699829279</v>
      </c>
      <c r="G19" s="5">
        <v>0.5</v>
      </c>
      <c r="I19" s="83">
        <v>4</v>
      </c>
      <c r="J19" s="255">
        <f>IF(I19&lt;=MAX(Forest_data[Age]),I19,"")</f>
        <v>4</v>
      </c>
      <c r="K19" s="256">
        <f>IF(ISNUMBER(J19),LOOKUP(J19, Forest_data[[#All],[Age]],Forest_data[[#All],[Number of trees per ha]]),"")</f>
        <v>300</v>
      </c>
      <c r="L19" s="257" t="e">
        <f>IF(ISNUMBER(J19),IF(ISNA(VLOOKUP(J19,Forest_data[#All],3,FALSE)),#N/A, VLOOKUP(J19,Forest_data[#All],3,FALSE)),"")</f>
        <v>#N/A</v>
      </c>
      <c r="M19" s="257" t="e">
        <f>IF(ISNUMBER(J19),IF(ISNA(VLOOKUP(J19,Forest_data[#All],4,FALSE)),#N/A, VLOOKUP(J19,Forest_data[#All],4,FALSE)),"")</f>
        <v>#N/A</v>
      </c>
      <c r="N19" s="257" t="e">
        <f>IF(ISNUMBER(J19),IF(ISNA(VLOOKUP(J19,Forest_data[#All],5,FALSE)),#N/A, VLOOKUP(J19,Forest_data[#All],5,FALSE)),"")</f>
        <v>#N/A</v>
      </c>
      <c r="O19" s="257" t="e">
        <f>IF(ISNUMBER(J19),IF(ISNA(VLOOKUP(J19,Forest_data[#All],6,FALSE)),#N/A, VLOOKUP(J19,Forest_data[#All],6,FALSE)),"")</f>
        <v>#N/A</v>
      </c>
      <c r="P19" s="257">
        <f t="shared" si="5"/>
        <v>5.7681672213345099</v>
      </c>
      <c r="Q19" s="257">
        <f t="shared" si="0"/>
        <v>20.468186576978127</v>
      </c>
      <c r="R19" s="257">
        <f t="shared" si="6"/>
        <v>9.711195542441672</v>
      </c>
      <c r="S19" s="283">
        <f t="shared" si="1"/>
        <v>27.503119052071671</v>
      </c>
      <c r="T19" s="258">
        <f t="shared" si="2"/>
        <v>4.5353323941294521</v>
      </c>
      <c r="U19" s="257">
        <f t="shared" si="3"/>
        <v>23.912479433956669</v>
      </c>
      <c r="V19" s="257">
        <f t="shared" si="4"/>
        <v>12.660513701895342</v>
      </c>
      <c r="W19" s="283">
        <f t="shared" si="7"/>
        <v>33.037668713732486</v>
      </c>
      <c r="X19" s="253"/>
      <c r="Y19" s="253"/>
      <c r="Z19" s="293"/>
      <c r="AA19" s="601" t="s">
        <v>674</v>
      </c>
      <c r="AB19" s="602"/>
      <c r="AC19" s="296">
        <v>1</v>
      </c>
      <c r="AD19" s="291"/>
      <c r="AE19" s="291"/>
      <c r="AF19" s="293"/>
      <c r="AG19" s="293"/>
      <c r="AH19" s="293"/>
      <c r="AI19" s="293"/>
      <c r="AJ19" s="293"/>
      <c r="AK19" s="253"/>
      <c r="AL19" s="253"/>
      <c r="AM19" s="253"/>
      <c r="AN19" s="253"/>
      <c r="AO19" s="253"/>
      <c r="AP19" s="253"/>
      <c r="AQ19" s="253"/>
      <c r="AR19" s="253"/>
      <c r="AS19" s="253"/>
      <c r="AT19" s="253"/>
      <c r="AU19" s="253"/>
      <c r="AV19" s="59"/>
    </row>
    <row r="20" spans="1:61" ht="21" customHeight="1" x14ac:dyDescent="0.25">
      <c r="A20" s="58">
        <v>15</v>
      </c>
      <c r="B20" s="363">
        <v>300</v>
      </c>
      <c r="C20" s="58">
        <v>10</v>
      </c>
      <c r="D20" s="58">
        <v>12.5</v>
      </c>
      <c r="E20" s="58">
        <f>(Forest_data[[#This Row],[Mean diameter at breast height (DBH) (cm)]]/200)^2*PI()*Forest_data[[#This Row],[Number of trees per ha]]</f>
        <v>3.6815538909255388</v>
      </c>
      <c r="F20" s="58">
        <f>Forest_data[[#This Row],[Basal area (m²/ha)]]*Forest_data[[#This Row],[Height (m)]]*Forest_data[[#This Row],[Form factor ]]</f>
        <v>18.407769454627694</v>
      </c>
      <c r="G20" s="5">
        <v>0.5</v>
      </c>
      <c r="I20" s="83">
        <v>5</v>
      </c>
      <c r="J20" s="255">
        <f>IF(I20&lt;=MAX(Forest_data[Age]),I20,"")</f>
        <v>5</v>
      </c>
      <c r="K20" s="256">
        <f>IF(ISNUMBER(J20),LOOKUP(J20, Forest_data[[#All],[Age]],Forest_data[[#All],[Number of trees per ha]]),"")</f>
        <v>290</v>
      </c>
      <c r="L20" s="257">
        <f>IF(ISNUMBER(J20),IF(ISNA(VLOOKUP(J20,Forest_data[#All],3,FALSE)),#N/A, VLOOKUP(J20,Forest_data[#All],3,FALSE)),"")</f>
        <v>5</v>
      </c>
      <c r="M20" s="257">
        <f>IF(ISNUMBER(J20),IF(ISNA(VLOOKUP(J20,Forest_data[#All],4,FALSE)),#N/A, VLOOKUP(J20,Forest_data[#All],4,FALSE)),"")</f>
        <v>22</v>
      </c>
      <c r="N20" s="257">
        <f>IF(ISNUMBER(J20),IF(ISNA(VLOOKUP(J20,Forest_data[#All],5,FALSE)),#N/A, VLOOKUP(J20,Forest_data[#All],5,FALSE)),"")</f>
        <v>11.023848621446584</v>
      </c>
      <c r="O20" s="257">
        <f>IF(ISNUMBER(J20),IF(ISNA(VLOOKUP(J20,Forest_data[#All],6,FALSE)),#N/A, VLOOKUP(J20,Forest_data[#All],6,FALSE)),"")</f>
        <v>27.559621553616459</v>
      </c>
      <c r="P20" s="257">
        <f t="shared" si="5"/>
        <v>6.1778129299266489</v>
      </c>
      <c r="Q20" s="257">
        <f t="shared" si="0"/>
        <v>20.09810551070295</v>
      </c>
      <c r="R20" s="257">
        <f t="shared" si="6"/>
        <v>9.3873531598772946</v>
      </c>
      <c r="S20" s="283">
        <f t="shared" si="1"/>
        <v>27.890392870381959</v>
      </c>
      <c r="T20" s="258">
        <f t="shared" si="2"/>
        <v>5.0247604823660108</v>
      </c>
      <c r="U20" s="257">
        <f t="shared" si="3"/>
        <v>23.319502425534068</v>
      </c>
      <c r="V20" s="257">
        <f t="shared" si="4"/>
        <v>12.14580745346893</v>
      </c>
      <c r="W20" s="283">
        <f t="shared" si="7"/>
        <v>33.066776512943065</v>
      </c>
      <c r="X20" s="253"/>
      <c r="Y20" s="253"/>
      <c r="Z20" s="293"/>
      <c r="AA20" s="293"/>
      <c r="AB20" s="293"/>
      <c r="AC20" s="291"/>
      <c r="AD20" s="291"/>
      <c r="AE20" s="291"/>
      <c r="AF20" s="293"/>
      <c r="AG20" s="293"/>
      <c r="AH20" s="293"/>
      <c r="AI20" s="293"/>
      <c r="AJ20" s="293"/>
      <c r="AK20" s="253"/>
      <c r="AL20" s="253"/>
      <c r="AM20" s="253"/>
      <c r="AN20" s="253"/>
      <c r="AO20" s="253"/>
      <c r="AP20" s="253"/>
      <c r="AQ20" s="253"/>
      <c r="AR20" s="253"/>
      <c r="AS20" s="253"/>
      <c r="AT20" s="253"/>
      <c r="AU20" s="253"/>
      <c r="AV20" s="59"/>
      <c r="BC20" s="261"/>
    </row>
    <row r="21" spans="1:61" ht="19.5" customHeight="1" x14ac:dyDescent="0.25">
      <c r="A21" s="58"/>
      <c r="B21" s="363"/>
      <c r="C21" s="58"/>
      <c r="D21" s="58"/>
      <c r="E21" s="58"/>
      <c r="F21" s="58"/>
      <c r="G21" s="5"/>
      <c r="I21" s="83">
        <v>6</v>
      </c>
      <c r="J21" s="255">
        <f>IF(I21&lt;=MAX(Forest_data[Age]),I21,"")</f>
        <v>6</v>
      </c>
      <c r="K21" s="256">
        <f>IF(ISNUMBER(J21),LOOKUP(J21, Forest_data[[#All],[Age]],Forest_data[[#All],[Number of trees per ha]]),"")</f>
        <v>290</v>
      </c>
      <c r="L21" s="257" t="e">
        <f>IF(ISNUMBER(J21),IF(ISNA(VLOOKUP(J21,Forest_data[#All],3,FALSE)),#N/A, VLOOKUP(J21,Forest_data[#All],3,FALSE)),"")</f>
        <v>#N/A</v>
      </c>
      <c r="M21" s="257" t="e">
        <f>IF(ISNUMBER(J21),IF(ISNA(VLOOKUP(J21,Forest_data[#All],4,FALSE)),#N/A, VLOOKUP(J21,Forest_data[#All],4,FALSE)),"")</f>
        <v>#N/A</v>
      </c>
      <c r="N21" s="257" t="e">
        <f>IF(ISNUMBER(J21),IF(ISNA(VLOOKUP(J21,Forest_data[#All],5,FALSE)),#N/A, VLOOKUP(J21,Forest_data[#All],5,FALSE)),"")</f>
        <v>#N/A</v>
      </c>
      <c r="O21" s="257" t="e">
        <f>IF(ISNUMBER(J21),IF(ISNA(VLOOKUP(J21,Forest_data[#All],6,FALSE)),#N/A, VLOOKUP(J21,Forest_data[#All],6,FALSE)),"")</f>
        <v>#N/A</v>
      </c>
      <c r="P21" s="257">
        <f t="shared" si="5"/>
        <v>6.5882236665154261</v>
      </c>
      <c r="Q21" s="257">
        <f t="shared" si="0"/>
        <v>19.638003611507898</v>
      </c>
      <c r="R21" s="257">
        <f t="shared" si="6"/>
        <v>9.0022597019580495</v>
      </c>
      <c r="S21" s="283">
        <f t="shared" si="1"/>
        <v>27.996512348479406</v>
      </c>
      <c r="T21" s="258">
        <f t="shared" si="2"/>
        <v>5.7213453995546928</v>
      </c>
      <c r="U21" s="257">
        <f t="shared" si="3"/>
        <v>22.059887352034451</v>
      </c>
      <c r="V21" s="257">
        <f t="shared" si="4"/>
        <v>11.076097785020053</v>
      </c>
      <c r="W21" s="283">
        <f t="shared" si="7"/>
        <v>31.888177892991649</v>
      </c>
      <c r="X21" s="253"/>
      <c r="Y21" s="253"/>
      <c r="Z21" s="293"/>
      <c r="AA21" s="293"/>
      <c r="AB21" s="293"/>
      <c r="AC21" s="293"/>
      <c r="AD21" s="293"/>
      <c r="AE21" s="293"/>
      <c r="AF21" s="293"/>
      <c r="AG21" s="293"/>
      <c r="AH21" s="293"/>
      <c r="AI21" s="293"/>
      <c r="AJ21" s="293"/>
      <c r="AK21" s="253"/>
      <c r="AL21" s="253"/>
      <c r="AM21" s="253"/>
      <c r="AN21" s="253"/>
      <c r="AO21" s="253"/>
      <c r="AP21" s="253"/>
      <c r="AQ21" s="253"/>
      <c r="AR21" s="253"/>
      <c r="AS21" s="253"/>
      <c r="AT21" s="253"/>
      <c r="AU21" s="253"/>
      <c r="AV21" s="59"/>
    </row>
    <row r="22" spans="1:61" ht="19.5" customHeight="1" x14ac:dyDescent="0.25">
      <c r="A22" s="460"/>
      <c r="B22" s="461"/>
      <c r="C22" s="460"/>
      <c r="D22" s="460"/>
      <c r="E22" s="460"/>
      <c r="F22" s="460"/>
      <c r="G22" s="5"/>
      <c r="I22" s="260">
        <v>7</v>
      </c>
      <c r="J22" s="255">
        <f>IF(I22&lt;=MAX(Forest_data[Age]),I22,"")</f>
        <v>7</v>
      </c>
      <c r="K22" s="256">
        <f>IF(ISNUMBER(J22),LOOKUP(J22, Forest_data[[#All],[Age]],Forest_data[[#All],[Number of trees per ha]]),"")</f>
        <v>290</v>
      </c>
      <c r="L22" s="257" t="e">
        <f>IF(ISNUMBER(J22),IF(ISNA(VLOOKUP(J22,Forest_data[#All],3,FALSE)),#N/A, VLOOKUP(J22,Forest_data[#All],3,FALSE)),"")</f>
        <v>#N/A</v>
      </c>
      <c r="M22" s="257" t="e">
        <f>IF(ISNUMBER(J22),IF(ISNA(VLOOKUP(J22,Forest_data[#All],4,FALSE)),#N/A, VLOOKUP(J22,Forest_data[#All],4,FALSE)),"")</f>
        <v>#N/A</v>
      </c>
      <c r="N22" s="257" t="e">
        <f>IF(ISNUMBER(J22),IF(ISNA(VLOOKUP(J22,Forest_data[#All],5,FALSE)),#N/A, VLOOKUP(J22,Forest_data[#All],5,FALSE)),"")</f>
        <v>#N/A</v>
      </c>
      <c r="O22" s="257" t="e">
        <f>IF(ISNUMBER(J22),IF(ISNA(VLOOKUP(J22,Forest_data[#All],6,FALSE)),#N/A, VLOOKUP(J22,Forest_data[#All],6,FALSE)),"")</f>
        <v>#N/A</v>
      </c>
      <c r="P22" s="257">
        <f t="shared" si="5"/>
        <v>6.9993994311008425</v>
      </c>
      <c r="Q22" s="257">
        <f t="shared" si="0"/>
        <v>19.087880879392976</v>
      </c>
      <c r="R22" s="257">
        <f t="shared" si="6"/>
        <v>8.5559151686839368</v>
      </c>
      <c r="S22" s="283">
        <f t="shared" si="1"/>
        <v>27.821477486364007</v>
      </c>
      <c r="T22" s="258">
        <f t="shared" si="2"/>
        <v>6.5565071526476348</v>
      </c>
      <c r="U22" s="257">
        <f t="shared" si="3"/>
        <v>20.325232937775091</v>
      </c>
      <c r="V22" s="257">
        <f t="shared" si="4"/>
        <v>9.6154490256931489</v>
      </c>
      <c r="W22" s="283">
        <f t="shared" si="7"/>
        <v>29.809748141746518</v>
      </c>
      <c r="X22" s="253"/>
      <c r="Y22" s="253"/>
      <c r="Z22" s="293"/>
      <c r="AA22" s="293"/>
      <c r="AB22" s="293"/>
      <c r="AC22" s="293"/>
      <c r="AD22" s="293"/>
      <c r="AE22" s="293"/>
      <c r="AF22" s="293"/>
      <c r="AG22" s="293"/>
      <c r="AH22" s="293"/>
      <c r="AI22" s="293"/>
      <c r="AJ22" s="293"/>
      <c r="AK22" s="253"/>
      <c r="AL22" s="253"/>
      <c r="AM22" s="253"/>
      <c r="AN22" s="253"/>
      <c r="AO22" s="253"/>
      <c r="AP22" s="253"/>
      <c r="AQ22" s="253"/>
      <c r="AR22" s="253"/>
      <c r="AS22" s="253"/>
      <c r="AT22" s="253"/>
      <c r="AU22" s="253"/>
      <c r="AV22" s="59"/>
    </row>
    <row r="23" spans="1:61" ht="19.5" customHeight="1" x14ac:dyDescent="0.25">
      <c r="A23" s="59"/>
      <c r="B23" s="59"/>
      <c r="C23" s="59"/>
      <c r="D23" s="59"/>
      <c r="E23" s="59"/>
      <c r="F23" s="59"/>
      <c r="G23" s="59"/>
      <c r="I23" s="83">
        <v>8</v>
      </c>
      <c r="J23" s="255">
        <f>IF(I23&lt;=MAX(Forest_data[Age]),I23,"")</f>
        <v>8</v>
      </c>
      <c r="K23" s="256">
        <f>IF(ISNUMBER(J23),LOOKUP(J23, Forest_data[[#All],[Age]],Forest_data[[#All],[Number of trees per ha]]),"")</f>
        <v>295</v>
      </c>
      <c r="L23" s="257">
        <f>IF(ISNUMBER(J23),IF(ISNA(VLOOKUP(J23,Forest_data[#All],3,FALSE)),#N/A, VLOOKUP(J23,Forest_data[#All],3,FALSE)),"")</f>
        <v>7.5121973452622681</v>
      </c>
      <c r="M23" s="257">
        <f>IF(ISNUMBER(J23),IF(ISNA(VLOOKUP(J23,Forest_data[#All],4,FALSE)),#N/A, VLOOKUP(J23,Forest_data[#All],4,FALSE)),"")</f>
        <v>21</v>
      </c>
      <c r="N23" s="257">
        <f>IF(ISNUMBER(J23),IF(ISNA(VLOOKUP(J23,Forest_data[#All],5,FALSE)),#N/A, VLOOKUP(J23,Forest_data[#All],5,FALSE)),"")</f>
        <v>10.217637406719103</v>
      </c>
      <c r="O23" s="257">
        <f>IF(ISNUMBER(J23),IF(ISNA(VLOOKUP(J23,Forest_data[#All],6,FALSE)),#N/A, VLOOKUP(J23,Forest_data[#All],6,FALSE)),"")</f>
        <v>38.378454300803845</v>
      </c>
      <c r="P23" s="257">
        <f t="shared" si="5"/>
        <v>7.4113402236828971</v>
      </c>
      <c r="Q23" s="257">
        <f t="shared" si="0"/>
        <v>18.447737314358182</v>
      </c>
      <c r="R23" s="257">
        <f t="shared" si="6"/>
        <v>8.0483195600549546</v>
      </c>
      <c r="S23" s="283">
        <f t="shared" si="1"/>
        <v>27.365288284035767</v>
      </c>
      <c r="T23" s="258">
        <f t="shared" si="2"/>
        <v>7.4616657485969604</v>
      </c>
      <c r="U23" s="257">
        <f t="shared" si="3"/>
        <v>18.307137907073297</v>
      </c>
      <c r="V23" s="257">
        <f t="shared" si="4"/>
        <v>7.9279255046326433</v>
      </c>
      <c r="W23" s="283">
        <f t="shared" si="7"/>
        <v>27.13936254707594</v>
      </c>
      <c r="X23" s="253"/>
      <c r="Y23" s="253"/>
      <c r="Z23" s="293"/>
      <c r="AA23" s="293"/>
      <c r="AB23" s="293"/>
      <c r="AC23" s="293"/>
      <c r="AD23" s="293"/>
      <c r="AE23" s="293"/>
      <c r="AF23" s="293"/>
      <c r="AG23" s="293"/>
      <c r="AH23" s="293"/>
      <c r="AI23" s="293"/>
      <c r="AJ23" s="293"/>
      <c r="AK23" s="253"/>
      <c r="AL23" s="253"/>
      <c r="AM23" s="253"/>
      <c r="AN23" s="253"/>
      <c r="AO23" s="253"/>
      <c r="AP23" s="253"/>
      <c r="AQ23" s="253"/>
      <c r="AR23" s="253"/>
      <c r="AS23" s="253"/>
      <c r="AT23" s="253"/>
      <c r="AU23" s="253"/>
      <c r="AV23" s="59"/>
    </row>
    <row r="24" spans="1:61" ht="19.5" customHeight="1" x14ac:dyDescent="0.25">
      <c r="A24" s="59"/>
      <c r="B24" s="59"/>
      <c r="C24" s="59"/>
      <c r="D24" s="59"/>
      <c r="E24" s="59"/>
      <c r="F24" s="59"/>
      <c r="G24" s="59"/>
      <c r="I24" s="83">
        <v>9</v>
      </c>
      <c r="J24" s="255">
        <f>IF(I24&lt;=MAX(Forest_data[Age]),I24,"")</f>
        <v>9</v>
      </c>
      <c r="K24" s="256">
        <f>IF(ISNUMBER(J24),LOOKUP(J24, Forest_data[[#All],[Age]],Forest_data[[#All],[Number of trees per ha]]),"")</f>
        <v>295</v>
      </c>
      <c r="L24" s="257" t="e">
        <f>IF(ISNUMBER(J24),IF(ISNA(VLOOKUP(J24,Forest_data[#All],3,FALSE)),#N/A, VLOOKUP(J24,Forest_data[#All],3,FALSE)),"")</f>
        <v>#N/A</v>
      </c>
      <c r="M24" s="257" t="e">
        <f>IF(ISNUMBER(J24),IF(ISNA(VLOOKUP(J24,Forest_data[#All],4,FALSE)),#N/A, VLOOKUP(J24,Forest_data[#All],4,FALSE)),"")</f>
        <v>#N/A</v>
      </c>
      <c r="N24" s="257" t="e">
        <f>IF(ISNUMBER(J24),IF(ISNA(VLOOKUP(J24,Forest_data[#All],5,FALSE)),#N/A, VLOOKUP(J24,Forest_data[#All],5,FALSE)),"")</f>
        <v>#N/A</v>
      </c>
      <c r="O24" s="257" t="e">
        <f>IF(ISNUMBER(J24),IF(ISNA(VLOOKUP(J24,Forest_data[#All],6,FALSE)),#N/A, VLOOKUP(J24,Forest_data[#All],6,FALSE)),"")</f>
        <v>#N/A</v>
      </c>
      <c r="P24" s="257">
        <f t="shared" si="5"/>
        <v>7.8240460442615909</v>
      </c>
      <c r="Q24" s="257">
        <f t="shared" si="0"/>
        <v>17.717572916403512</v>
      </c>
      <c r="R24" s="257">
        <f t="shared" si="6"/>
        <v>7.4794728760711049</v>
      </c>
      <c r="S24" s="283">
        <f t="shared" si="1"/>
        <v>26.627944741494687</v>
      </c>
      <c r="T24" s="258">
        <f t="shared" si="2"/>
        <v>8.3682411943548036</v>
      </c>
      <c r="U24" s="257">
        <f t="shared" si="3"/>
        <v>16.197200984246344</v>
      </c>
      <c r="V24" s="257">
        <f t="shared" si="4"/>
        <v>6.1775915509829638</v>
      </c>
      <c r="W24" s="283">
        <f t="shared" si="7"/>
        <v>24.184896396848188</v>
      </c>
      <c r="X24" s="253"/>
      <c r="Y24" s="253"/>
      <c r="Z24" s="293"/>
      <c r="AA24" s="293"/>
      <c r="AB24" s="293"/>
      <c r="AC24" s="293"/>
      <c r="AD24" s="293"/>
      <c r="AE24" s="293"/>
      <c r="AF24" s="293"/>
      <c r="AG24" s="293"/>
      <c r="AH24" s="293"/>
      <c r="AI24" s="293"/>
      <c r="AJ24" s="293"/>
      <c r="AK24" s="253"/>
      <c r="AL24" s="253"/>
      <c r="AM24" s="253"/>
      <c r="AN24" s="253"/>
      <c r="AO24" s="253"/>
      <c r="AP24" s="253"/>
      <c r="AQ24" s="253"/>
      <c r="AR24" s="253"/>
      <c r="AS24" s="253"/>
      <c r="AT24" s="253"/>
      <c r="AU24" s="253"/>
      <c r="AV24" s="59"/>
    </row>
    <row r="25" spans="1:61" ht="19.5" customHeight="1" x14ac:dyDescent="0.25">
      <c r="A25" s="59"/>
      <c r="B25" s="59"/>
      <c r="C25" s="59"/>
      <c r="D25" s="59"/>
      <c r="E25" s="59"/>
      <c r="F25" s="59"/>
      <c r="G25" s="59"/>
      <c r="I25" s="83">
        <v>10</v>
      </c>
      <c r="J25" s="255">
        <f>IF(I25&lt;=MAX(Forest_data[Age]),I25,"")</f>
        <v>10</v>
      </c>
      <c r="K25" s="256">
        <f>IF(ISNUMBER(J25),LOOKUP(J25, Forest_data[[#All],[Age]],Forest_data[[#All],[Number of trees per ha]]),"")</f>
        <v>250</v>
      </c>
      <c r="L25" s="257">
        <f>IF(ISNUMBER(J25),IF(ISNA(VLOOKUP(J25,Forest_data[#All],3,FALSE)),#N/A, VLOOKUP(J25,Forest_data[#All],3,FALSE)),"")</f>
        <v>9.1746395203852966</v>
      </c>
      <c r="M25" s="257">
        <f>IF(ISNUMBER(J25),IF(ISNA(VLOOKUP(J25,Forest_data[#All],4,FALSE)),#N/A, VLOOKUP(J25,Forest_data[#All],4,FALSE)),"")</f>
        <v>12.427684326232722</v>
      </c>
      <c r="N25" s="257">
        <f>IF(ISNUMBER(J25),IF(ISNA(VLOOKUP(J25,Forest_data[#All],5,FALSE)),#N/A, VLOOKUP(J25,Forest_data[#All],5,FALSE)),"")</f>
        <v>3.0325663845253858</v>
      </c>
      <c r="O25" s="257">
        <f>IF(ISNUMBER(J25),IF(ISNA(VLOOKUP(J25,Forest_data[#All],6,FALSE)),#N/A, VLOOKUP(J25,Forest_data[#All],6,FALSE)),"")</f>
        <v>13.911351699829279</v>
      </c>
      <c r="P25" s="257">
        <f t="shared" si="5"/>
        <v>8.2375168928369238</v>
      </c>
      <c r="Q25" s="257">
        <f t="shared" si="0"/>
        <v>16.897387685528976</v>
      </c>
      <c r="R25" s="257">
        <f t="shared" si="6"/>
        <v>6.8493751167323857</v>
      </c>
      <c r="S25" s="283">
        <f t="shared" si="1"/>
        <v>25.60944685874076</v>
      </c>
      <c r="T25" s="258">
        <f t="shared" si="2"/>
        <v>9.2076534968733021</v>
      </c>
      <c r="U25" s="257">
        <f t="shared" si="3"/>
        <v>14.187020893611511</v>
      </c>
      <c r="V25" s="257">
        <f t="shared" si="4"/>
        <v>4.5285114938885407</v>
      </c>
      <c r="W25" s="283">
        <f t="shared" si="7"/>
        <v>21.254224978931518</v>
      </c>
      <c r="X25" s="253"/>
      <c r="Y25" s="253"/>
      <c r="Z25" s="293"/>
      <c r="AA25" s="293"/>
      <c r="AB25" s="293"/>
      <c r="AC25" s="293"/>
      <c r="AD25" s="293"/>
      <c r="AE25" s="293"/>
      <c r="AF25" s="293"/>
      <c r="AG25" s="293"/>
      <c r="AH25" s="293"/>
      <c r="AI25" s="293"/>
      <c r="AJ25" s="293"/>
      <c r="AK25" s="253"/>
      <c r="AL25" s="253"/>
      <c r="AM25" s="253"/>
      <c r="AN25" s="253"/>
      <c r="AO25" s="253"/>
      <c r="AP25" s="253"/>
      <c r="AQ25" s="253"/>
      <c r="AR25" s="253"/>
      <c r="AS25" s="253"/>
      <c r="AT25" s="253"/>
      <c r="AU25" s="253"/>
      <c r="AV25" s="59"/>
    </row>
    <row r="26" spans="1:61" ht="19.5" customHeight="1" x14ac:dyDescent="0.25">
      <c r="A26" s="59"/>
      <c r="B26" s="59"/>
      <c r="C26" s="59"/>
      <c r="D26" s="59"/>
      <c r="E26" s="59"/>
      <c r="F26" s="59"/>
      <c r="G26" s="59"/>
      <c r="I26" s="260">
        <v>11</v>
      </c>
      <c r="J26" s="255">
        <f>IF(I26&lt;=MAX(Forest_data[Age]),I26,"")</f>
        <v>11</v>
      </c>
      <c r="K26" s="256">
        <f>IF(ISNUMBER(J26),LOOKUP(J26, Forest_data[[#All],[Age]],Forest_data[[#All],[Number of trees per ha]]),"")</f>
        <v>250</v>
      </c>
      <c r="L26" s="257" t="e">
        <f>IF(ISNUMBER(J26),IF(ISNA(VLOOKUP(J26,Forest_data[#All],3,FALSE)),#N/A, VLOOKUP(J26,Forest_data[#All],3,FALSE)),"")</f>
        <v>#N/A</v>
      </c>
      <c r="M26" s="257" t="e">
        <f>IF(ISNUMBER(J26),IF(ISNA(VLOOKUP(J26,Forest_data[#All],4,FALSE)),#N/A, VLOOKUP(J26,Forest_data[#All],4,FALSE)),"")</f>
        <v>#N/A</v>
      </c>
      <c r="N26" s="257" t="e">
        <f>IF(ISNUMBER(J26),IF(ISNA(VLOOKUP(J26,Forest_data[#All],5,FALSE)),#N/A, VLOOKUP(J26,Forest_data[#All],5,FALSE)),"")</f>
        <v>#N/A</v>
      </c>
      <c r="O26" s="257" t="e">
        <f>IF(ISNUMBER(J26),IF(ISNA(VLOOKUP(J26,Forest_data[#All],6,FALSE)),#N/A, VLOOKUP(J26,Forest_data[#All],6,FALSE)),"")</f>
        <v>#N/A</v>
      </c>
      <c r="P26" s="257">
        <f t="shared" si="5"/>
        <v>8.651752769408894</v>
      </c>
      <c r="Q26" s="257">
        <f t="shared" si="0"/>
        <v>15.98718162173456</v>
      </c>
      <c r="R26" s="257">
        <f t="shared" si="6"/>
        <v>6.1580262820387999</v>
      </c>
      <c r="S26" s="283">
        <f t="shared" si="1"/>
        <v>24.309794635773994</v>
      </c>
      <c r="T26" s="258">
        <f t="shared" si="2"/>
        <v>9.9113226631045706</v>
      </c>
      <c r="U26" s="257">
        <f t="shared" si="3"/>
        <v>12.468196359486107</v>
      </c>
      <c r="V26" s="257">
        <f t="shared" si="4"/>
        <v>3.1447496624938118</v>
      </c>
      <c r="W26" s="283">
        <f t="shared" si="7"/>
        <v>18.655223581194221</v>
      </c>
      <c r="X26" s="253"/>
      <c r="Y26" s="253"/>
      <c r="Z26" s="293"/>
      <c r="AA26" s="293"/>
      <c r="AB26" s="293"/>
      <c r="AC26" s="293"/>
      <c r="AD26" s="293"/>
      <c r="AE26" s="293"/>
      <c r="AF26" s="293"/>
      <c r="AG26" s="293"/>
      <c r="AH26" s="293"/>
      <c r="AI26" s="293"/>
      <c r="AJ26" s="293"/>
      <c r="AK26" s="253"/>
      <c r="AL26" s="253"/>
      <c r="AM26" s="253"/>
      <c r="AN26" s="253"/>
      <c r="AO26" s="253"/>
      <c r="AP26" s="253"/>
      <c r="AQ26" s="253"/>
      <c r="AR26" s="253"/>
      <c r="AS26" s="253"/>
      <c r="AT26" s="253"/>
      <c r="AU26" s="253"/>
      <c r="AV26" s="59"/>
    </row>
    <row r="27" spans="1:61" ht="19.5" customHeight="1" x14ac:dyDescent="0.25">
      <c r="A27" s="59"/>
      <c r="B27" s="59"/>
      <c r="C27" s="59"/>
      <c r="D27" s="59"/>
      <c r="E27" s="60"/>
      <c r="F27" s="59"/>
      <c r="G27" s="59"/>
      <c r="I27" s="83">
        <v>12</v>
      </c>
      <c r="J27" s="255">
        <f>IF(I27&lt;=MAX(Forest_data[Age]),I27,"")</f>
        <v>12</v>
      </c>
      <c r="K27" s="256">
        <f>IF(ISNUMBER(J27),LOOKUP(J27, Forest_data[[#All],[Age]],Forest_data[[#All],[Number of trees per ha]]),"")</f>
        <v>250</v>
      </c>
      <c r="L27" s="257" t="e">
        <f>IF(ISNUMBER(J27),IF(ISNA(VLOOKUP(J27,Forest_data[#All],3,FALSE)),#N/A, VLOOKUP(J27,Forest_data[#All],3,FALSE)),"")</f>
        <v>#N/A</v>
      </c>
      <c r="M27" s="257" t="e">
        <f>IF(ISNUMBER(J27),IF(ISNA(VLOOKUP(J27,Forest_data[#All],4,FALSE)),#N/A, VLOOKUP(J27,Forest_data[#All],4,FALSE)),"")</f>
        <v>#N/A</v>
      </c>
      <c r="N27" s="257" t="e">
        <f>IF(ISNUMBER(J27),IF(ISNA(VLOOKUP(J27,Forest_data[#All],5,FALSE)),#N/A, VLOOKUP(J27,Forest_data[#All],5,FALSE)),"")</f>
        <v>#N/A</v>
      </c>
      <c r="O27" s="257" t="e">
        <f>IF(ISNUMBER(J27),IF(ISNA(VLOOKUP(J27,Forest_data[#All],6,FALSE)),#N/A, VLOOKUP(J27,Forest_data[#All],6,FALSE)),"")</f>
        <v>#N/A</v>
      </c>
      <c r="P27" s="257">
        <f t="shared" si="5"/>
        <v>9.0667536739775052</v>
      </c>
      <c r="Q27" s="257">
        <f t="shared" si="0"/>
        <v>14.986954725020279</v>
      </c>
      <c r="R27" s="257">
        <f t="shared" si="6"/>
        <v>5.4054263719903455</v>
      </c>
      <c r="S27" s="283">
        <f t="shared" si="1"/>
        <v>22.728988072594387</v>
      </c>
      <c r="T27" s="258">
        <f t="shared" si="2"/>
        <v>10.410668700000755</v>
      </c>
      <c r="U27" s="257">
        <f t="shared" si="3"/>
        <v>11.232326106187401</v>
      </c>
      <c r="V27" s="257">
        <f t="shared" si="4"/>
        <v>2.1903703859431936</v>
      </c>
      <c r="W27" s="283">
        <f t="shared" si="7"/>
        <v>16.695767491504554</v>
      </c>
      <c r="X27" s="253"/>
      <c r="Y27" s="253"/>
      <c r="Z27" s="293"/>
      <c r="AA27" s="293"/>
      <c r="AB27" s="293"/>
      <c r="AC27" s="293"/>
      <c r="AD27" s="293"/>
      <c r="AE27" s="293"/>
      <c r="AF27" s="293"/>
      <c r="AG27" s="293"/>
      <c r="AH27" s="293"/>
      <c r="AI27" s="293"/>
      <c r="AJ27" s="293"/>
      <c r="AK27" s="253"/>
      <c r="AL27" s="253"/>
      <c r="AM27" s="253"/>
      <c r="AN27" s="253"/>
      <c r="AO27" s="253"/>
      <c r="AP27" s="253"/>
      <c r="AQ27" s="253"/>
      <c r="AR27" s="253"/>
      <c r="AS27" s="253"/>
      <c r="AT27" s="253"/>
      <c r="AU27" s="253"/>
      <c r="AV27" s="59"/>
    </row>
    <row r="28" spans="1:61" ht="19.5" customHeight="1" x14ac:dyDescent="0.25">
      <c r="A28" s="59"/>
      <c r="B28" s="59"/>
      <c r="C28" s="59"/>
      <c r="D28" s="59"/>
      <c r="E28" s="59"/>
      <c r="F28" s="59"/>
      <c r="G28" s="59"/>
      <c r="I28" s="83">
        <v>13</v>
      </c>
      <c r="J28" s="255">
        <f>IF(I28&lt;=MAX(Forest_data[Age]),I28,"")</f>
        <v>13</v>
      </c>
      <c r="K28" s="256">
        <f>IF(ISNUMBER(J28),LOOKUP(J28, Forest_data[[#All],[Age]],Forest_data[[#All],[Number of trees per ha]]),"")</f>
        <v>250</v>
      </c>
      <c r="L28" s="257" t="e">
        <f>IF(ISNUMBER(J28),IF(ISNA(VLOOKUP(J28,Forest_data[#All],3,FALSE)),#N/A, VLOOKUP(J28,Forest_data[#All],3,FALSE)),"")</f>
        <v>#N/A</v>
      </c>
      <c r="M28" s="257" t="e">
        <f>IF(ISNUMBER(J28),IF(ISNA(VLOOKUP(J28,Forest_data[#All],4,FALSE)),#N/A, VLOOKUP(J28,Forest_data[#All],4,FALSE)),"")</f>
        <v>#N/A</v>
      </c>
      <c r="N28" s="257" t="e">
        <f>IF(ISNUMBER(J28),IF(ISNA(VLOOKUP(J28,Forest_data[#All],5,FALSE)),#N/A, VLOOKUP(J28,Forest_data[#All],5,FALSE)),"")</f>
        <v>#N/A</v>
      </c>
      <c r="O28" s="257" t="e">
        <f>IF(ISNUMBER(J28),IF(ISNA(VLOOKUP(J28,Forest_data[#All],6,FALSE)),#N/A, VLOOKUP(J28,Forest_data[#All],6,FALSE)),"")</f>
        <v>#N/A</v>
      </c>
      <c r="P28" s="257">
        <f t="shared" si="5"/>
        <v>9.4825196065427555</v>
      </c>
      <c r="Q28" s="257">
        <f t="shared" si="0"/>
        <v>13.896706995386122</v>
      </c>
      <c r="R28" s="257">
        <f t="shared" si="6"/>
        <v>4.5915753865870217</v>
      </c>
      <c r="S28" s="283">
        <f t="shared" si="1"/>
        <v>20.867027169201933</v>
      </c>
      <c r="T28" s="258">
        <f t="shared" si="2"/>
        <v>10.637111614513977</v>
      </c>
      <c r="U28" s="257">
        <f t="shared" si="3"/>
        <v>10.671008858032693</v>
      </c>
      <c r="V28" s="257">
        <f t="shared" si="4"/>
        <v>1.8294379933811307</v>
      </c>
      <c r="W28" s="283">
        <f t="shared" si="7"/>
        <v>15.683731997730789</v>
      </c>
      <c r="X28" s="253"/>
      <c r="Y28" s="253"/>
      <c r="Z28" s="293"/>
      <c r="AA28" s="293"/>
      <c r="AB28" s="293"/>
      <c r="AC28" s="293"/>
      <c r="AD28" s="293"/>
      <c r="AE28" s="293"/>
      <c r="AF28" s="293"/>
      <c r="AG28" s="293"/>
      <c r="AH28" s="293"/>
      <c r="AI28" s="293"/>
      <c r="AJ28" s="293"/>
      <c r="AK28" s="253"/>
      <c r="AL28" s="253"/>
      <c r="AM28" s="253"/>
      <c r="AN28" s="253"/>
      <c r="AO28" s="253"/>
      <c r="AP28" s="253"/>
      <c r="AQ28" s="253"/>
      <c r="AR28" s="253"/>
      <c r="AS28" s="253"/>
      <c r="AT28" s="253"/>
      <c r="AU28" s="253"/>
      <c r="AV28" s="59"/>
    </row>
    <row r="29" spans="1:61" ht="19.5" customHeight="1" x14ac:dyDescent="0.25">
      <c r="A29" s="59"/>
      <c r="B29" s="59"/>
      <c r="C29" s="59"/>
      <c r="D29" s="59"/>
      <c r="E29" s="59"/>
      <c r="F29" s="59"/>
      <c r="G29" s="59"/>
      <c r="I29" s="83">
        <v>14</v>
      </c>
      <c r="J29" s="255">
        <f>IF(I29&lt;=MAX(Forest_data[Age]),I29,"")</f>
        <v>14</v>
      </c>
      <c r="K29" s="256">
        <f>IF(ISNUMBER(J29),LOOKUP(J29, Forest_data[[#All],[Age]],Forest_data[[#All],[Number of trees per ha]]),"")</f>
        <v>250</v>
      </c>
      <c r="L29" s="257" t="e">
        <f>IF(ISNUMBER(J29),IF(ISNA(VLOOKUP(J29,Forest_data[#All],3,FALSE)),#N/A, VLOOKUP(J29,Forest_data[#All],3,FALSE)),"")</f>
        <v>#N/A</v>
      </c>
      <c r="M29" s="257" t="e">
        <f>IF(ISNUMBER(J29),IF(ISNA(VLOOKUP(J29,Forest_data[#All],4,FALSE)),#N/A, VLOOKUP(J29,Forest_data[#All],4,FALSE)),"")</f>
        <v>#N/A</v>
      </c>
      <c r="N29" s="257" t="e">
        <f>IF(ISNUMBER(J29),IF(ISNA(VLOOKUP(J29,Forest_data[#All],5,FALSE)),#N/A, VLOOKUP(J29,Forest_data[#All],5,FALSE)),"")</f>
        <v>#N/A</v>
      </c>
      <c r="O29" s="257" t="e">
        <f>IF(ISNUMBER(J29),IF(ISNA(VLOOKUP(J29,Forest_data[#All],6,FALSE)),#N/A, VLOOKUP(J29,Forest_data[#All],6,FALSE)),"")</f>
        <v>#N/A</v>
      </c>
      <c r="P29" s="257">
        <f t="shared" si="5"/>
        <v>9.8990505671046414</v>
      </c>
      <c r="Q29" s="257">
        <f t="shared" si="0"/>
        <v>12.716438432832092</v>
      </c>
      <c r="R29" s="257">
        <f t="shared" si="6"/>
        <v>3.7164733258288312</v>
      </c>
      <c r="S29" s="283">
        <f t="shared" si="1"/>
        <v>18.723911925596639</v>
      </c>
      <c r="T29" s="258">
        <f t="shared" si="2"/>
        <v>10.522071413596379</v>
      </c>
      <c r="U29" s="257">
        <f t="shared" si="3"/>
        <v>10.975843339339249</v>
      </c>
      <c r="V29" s="257">
        <f t="shared" si="4"/>
        <v>2.2260168139520538</v>
      </c>
      <c r="W29" s="283">
        <f t="shared" si="7"/>
        <v>15.926992387741194</v>
      </c>
      <c r="X29" s="253"/>
      <c r="Y29" s="253"/>
      <c r="Z29" s="293"/>
      <c r="AA29" s="293"/>
      <c r="AB29" s="293"/>
      <c r="AC29" s="293"/>
      <c r="AD29" s="293"/>
      <c r="AE29" s="293"/>
      <c r="AF29" s="293"/>
      <c r="AG29" s="293"/>
      <c r="AH29" s="293"/>
      <c r="AI29" s="293"/>
      <c r="AJ29" s="293"/>
      <c r="AK29" s="253"/>
      <c r="AL29" s="253"/>
      <c r="AM29" s="253"/>
      <c r="AN29" s="253"/>
      <c r="AO29" s="253"/>
      <c r="AP29" s="253"/>
      <c r="AQ29" s="253"/>
      <c r="AR29" s="253"/>
      <c r="AS29" s="253"/>
      <c r="AT29" s="253"/>
      <c r="AU29" s="253"/>
      <c r="AV29" s="59"/>
    </row>
    <row r="30" spans="1:61" ht="19.5" customHeight="1" x14ac:dyDescent="0.25">
      <c r="A30" s="59"/>
      <c r="B30" s="59"/>
      <c r="C30" s="59"/>
      <c r="D30" s="59"/>
      <c r="E30" s="59"/>
      <c r="F30" s="59"/>
      <c r="G30" s="59"/>
      <c r="I30" s="260">
        <v>15</v>
      </c>
      <c r="J30" s="255">
        <f>IF(I30&lt;=MAX(Forest_data[Age]),I30,"")</f>
        <v>15</v>
      </c>
      <c r="K30" s="256">
        <f>IF(ISNUMBER(J30),LOOKUP(J30, Forest_data[[#All],[Age]],Forest_data[[#All],[Number of trees per ha]]),"")</f>
        <v>300</v>
      </c>
      <c r="L30" s="257">
        <f>IF(ISNUMBER(J30),IF(ISNA(VLOOKUP(J30,Forest_data[#All],3,FALSE)),#N/A, VLOOKUP(J30,Forest_data[#All],3,FALSE)),"")</f>
        <v>10</v>
      </c>
      <c r="M30" s="257">
        <f>IF(ISNUMBER(J30),IF(ISNA(VLOOKUP(J30,Forest_data[#All],4,FALSE)),#N/A, VLOOKUP(J30,Forest_data[#All],4,FALSE)),"")</f>
        <v>12.5</v>
      </c>
      <c r="N30" s="257">
        <f>IF(ISNUMBER(J30),IF(ISNA(VLOOKUP(J30,Forest_data[#All],5,FALSE)),#N/A, VLOOKUP(J30,Forest_data[#All],5,FALSE)),"")</f>
        <v>3.6815538909255388</v>
      </c>
      <c r="O30" s="257">
        <f>IF(ISNUMBER(J30),IF(ISNA(VLOOKUP(J30,Forest_data[#All],6,FALSE)),#N/A, VLOOKUP(J30,Forest_data[#All],6,FALSE)),"")</f>
        <v>18.407769454627694</v>
      </c>
      <c r="P30" s="257">
        <f t="shared" si="5"/>
        <v>10.31634655566317</v>
      </c>
      <c r="Q30" s="257">
        <f t="shared" si="0"/>
        <v>11.446149037358191</v>
      </c>
      <c r="R30" s="257">
        <f t="shared" si="6"/>
        <v>2.7801201897157712</v>
      </c>
      <c r="S30" s="283">
        <f t="shared" si="1"/>
        <v>16.299642341778501</v>
      </c>
      <c r="T30" s="258">
        <f t="shared" si="2"/>
        <v>9.9969681042000751</v>
      </c>
      <c r="U30" s="257">
        <f t="shared" si="3"/>
        <v>12.338428274424402</v>
      </c>
      <c r="V30" s="257">
        <f t="shared" si="4"/>
        <v>3.5441711768003721</v>
      </c>
      <c r="W30" s="283">
        <f t="shared" si="7"/>
        <v>17.733423949404084</v>
      </c>
      <c r="X30" s="253"/>
      <c r="Y30" s="253"/>
      <c r="Z30" s="293"/>
      <c r="AA30" s="293"/>
      <c r="AB30" s="293"/>
      <c r="AC30" s="293"/>
      <c r="AD30" s="293"/>
      <c r="AE30" s="293"/>
      <c r="AF30" s="293"/>
      <c r="AG30" s="293"/>
      <c r="AH30" s="293"/>
      <c r="AI30" s="293"/>
      <c r="AJ30" s="293"/>
      <c r="AK30" s="253"/>
      <c r="AL30" s="253"/>
      <c r="AN30" s="253"/>
      <c r="AO30" s="253"/>
      <c r="AP30" s="253"/>
      <c r="AQ30" s="253"/>
      <c r="AR30" s="253"/>
      <c r="AS30" s="253"/>
      <c r="AT30" s="253"/>
      <c r="AU30" s="253"/>
      <c r="AV30" s="59"/>
      <c r="BI30" s="262" t="s">
        <v>675</v>
      </c>
    </row>
    <row r="31" spans="1:61" ht="19.5" customHeight="1" x14ac:dyDescent="0.25">
      <c r="A31" s="59"/>
      <c r="B31" s="59"/>
      <c r="C31" s="59"/>
      <c r="D31" s="59"/>
      <c r="E31" s="59"/>
      <c r="F31" s="59"/>
      <c r="G31" s="59"/>
      <c r="I31" s="83">
        <v>16</v>
      </c>
      <c r="J31" s="255" t="str">
        <f>IF(I31&lt;=MAX(Forest_data[Age]),I31,"")</f>
        <v/>
      </c>
      <c r="K31" s="256" t="str">
        <f>IF(ISNUMBER(J31),LOOKUP(J31, Forest_data[[#All],[Age]],Forest_data[[#All],[Number of trees per ha]]),"")</f>
        <v/>
      </c>
      <c r="L31" s="257" t="str">
        <f>IF(ISNUMBER(J31),IF(ISNA(VLOOKUP(J31,Forest_data[#All],3,FALSE)),#N/A, VLOOKUP(J31,Forest_data[#All],3,FALSE)),"")</f>
        <v/>
      </c>
      <c r="M31" s="257" t="str">
        <f>IF(ISNUMBER(J31),IF(ISNA(VLOOKUP(J31,Forest_data[#All],4,FALSE)),#N/A, VLOOKUP(J31,Forest_data[#All],4,FALSE)),"")</f>
        <v/>
      </c>
      <c r="N31" s="257" t="str">
        <f>IF(ISNUMBER(J31),IF(ISNA(VLOOKUP(J31,Forest_data[#All],5,FALSE)),#N/A, VLOOKUP(J31,Forest_data[#All],5,FALSE)),"")</f>
        <v/>
      </c>
      <c r="O31" s="257" t="str">
        <f>IF(ISNUMBER(J31),IF(ISNA(VLOOKUP(J31,Forest_data[#All],6,FALSE)),#N/A, VLOOKUP(J31,Forest_data[#All],6,FALSE)),"")</f>
        <v/>
      </c>
      <c r="P31" s="257" t="str">
        <f t="shared" si="5"/>
        <v/>
      </c>
      <c r="Q31" s="257" t="str">
        <f t="shared" si="0"/>
        <v/>
      </c>
      <c r="R31" s="257" t="str">
        <f t="shared" si="6"/>
        <v/>
      </c>
      <c r="S31" s="283" t="str">
        <f t="shared" si="1"/>
        <v/>
      </c>
      <c r="T31" s="258" t="str">
        <f t="shared" si="2"/>
        <v/>
      </c>
      <c r="U31" s="257" t="str">
        <f t="shared" si="3"/>
        <v/>
      </c>
      <c r="V31" s="257" t="str">
        <f t="shared" si="4"/>
        <v/>
      </c>
      <c r="W31" s="283" t="str">
        <f t="shared" si="7"/>
        <v/>
      </c>
      <c r="X31" s="253"/>
      <c r="Y31" s="253"/>
      <c r="Z31" s="293"/>
      <c r="AA31" s="293"/>
      <c r="AB31" s="293"/>
      <c r="AC31" s="293"/>
      <c r="AD31" s="293"/>
      <c r="AE31" s="293"/>
      <c r="AF31" s="293"/>
      <c r="AG31" s="293"/>
      <c r="AH31" s="293"/>
      <c r="AI31" s="293"/>
      <c r="AJ31" s="293"/>
      <c r="AK31" s="253"/>
      <c r="AL31" s="253"/>
      <c r="AM31" s="253"/>
      <c r="AN31" s="253"/>
      <c r="AO31" s="253"/>
      <c r="AP31" s="253"/>
      <c r="AQ31" s="253"/>
      <c r="AR31" s="253"/>
      <c r="AS31" s="253"/>
      <c r="AT31" s="253"/>
      <c r="AU31" s="253"/>
      <c r="AV31" s="59"/>
      <c r="BI31" s="262" t="s">
        <v>676</v>
      </c>
    </row>
    <row r="32" spans="1:61" ht="19.5" customHeight="1" x14ac:dyDescent="0.25">
      <c r="A32" s="59"/>
      <c r="B32" s="59"/>
      <c r="C32" s="59"/>
      <c r="D32" s="59"/>
      <c r="E32" s="59"/>
      <c r="F32" s="59"/>
      <c r="G32" s="59"/>
      <c r="I32" s="83">
        <v>17</v>
      </c>
      <c r="J32" s="255" t="str">
        <f>IF(I32&lt;=MAX(Forest_data[Age]),I32,"")</f>
        <v/>
      </c>
      <c r="K32" s="256" t="str">
        <f>IF(ISNUMBER(J32),LOOKUP(J32, Forest_data[[#All],[Age]],Forest_data[[#All],[Number of trees per ha]]),"")</f>
        <v/>
      </c>
      <c r="L32" s="257" t="str">
        <f>IF(ISNUMBER(J32),IF(ISNA(VLOOKUP(J32,Forest_data[#All],3,FALSE)),#N/A, VLOOKUP(J32,Forest_data[#All],3,FALSE)),"")</f>
        <v/>
      </c>
      <c r="M32" s="257" t="str">
        <f>IF(ISNUMBER(J32),IF(ISNA(VLOOKUP(J32,Forest_data[#All],4,FALSE)),#N/A, VLOOKUP(J32,Forest_data[#All],4,FALSE)),"")</f>
        <v/>
      </c>
      <c r="N32" s="257" t="str">
        <f>IF(ISNUMBER(J32),IF(ISNA(VLOOKUP(J32,Forest_data[#All],5,FALSE)),#N/A, VLOOKUP(J32,Forest_data[#All],5,FALSE)),"")</f>
        <v/>
      </c>
      <c r="O32" s="257" t="str">
        <f>IF(ISNUMBER(J32),IF(ISNA(VLOOKUP(J32,Forest_data[#All],6,FALSE)),#N/A, VLOOKUP(J32,Forest_data[#All],6,FALSE)),"")</f>
        <v/>
      </c>
      <c r="P32" s="257" t="str">
        <f t="shared" si="5"/>
        <v/>
      </c>
      <c r="Q32" s="257" t="str">
        <f t="shared" si="0"/>
        <v/>
      </c>
      <c r="R32" s="257" t="str">
        <f t="shared" si="6"/>
        <v/>
      </c>
      <c r="S32" s="283" t="str">
        <f t="shared" si="1"/>
        <v/>
      </c>
      <c r="T32" s="258" t="str">
        <f t="shared" si="2"/>
        <v/>
      </c>
      <c r="U32" s="257" t="str">
        <f t="shared" si="3"/>
        <v/>
      </c>
      <c r="V32" s="257" t="str">
        <f t="shared" si="4"/>
        <v/>
      </c>
      <c r="W32" s="283" t="str">
        <f t="shared" si="7"/>
        <v/>
      </c>
      <c r="X32" s="253"/>
      <c r="Y32" s="253"/>
      <c r="Z32" s="293"/>
      <c r="AA32" s="293"/>
      <c r="AB32" s="293"/>
      <c r="AC32" s="293"/>
      <c r="AD32" s="293"/>
      <c r="AE32" s="293"/>
      <c r="AF32" s="293"/>
      <c r="AG32" s="293"/>
      <c r="AH32" s="293"/>
      <c r="AI32" s="293"/>
      <c r="AJ32" s="293"/>
      <c r="AK32" s="253"/>
      <c r="AL32" s="253"/>
      <c r="AM32" s="253"/>
      <c r="AN32" s="253"/>
      <c r="AO32" s="253"/>
      <c r="AP32" s="253"/>
      <c r="AQ32" s="253"/>
      <c r="AR32" s="253"/>
      <c r="AS32" s="253"/>
      <c r="AT32" s="253"/>
      <c r="AU32" s="253"/>
      <c r="AV32" s="59"/>
      <c r="BI32" s="262" t="s">
        <v>677</v>
      </c>
    </row>
    <row r="33" spans="2:61" ht="19.5" customHeight="1" x14ac:dyDescent="0.25">
      <c r="B33" s="61"/>
      <c r="C33" s="61"/>
      <c r="D33" s="61"/>
      <c r="E33" s="61"/>
      <c r="F33" s="61"/>
      <c r="I33" s="83">
        <v>18</v>
      </c>
      <c r="J33" s="255" t="str">
        <f>IF(I33&lt;=MAX(Forest_data[Age]),I33,"")</f>
        <v/>
      </c>
      <c r="K33" s="256" t="str">
        <f>IF(ISNUMBER(J33),LOOKUP(J33, Forest_data[[#All],[Age]],Forest_data[[#All],[Number of trees per ha]]),"")</f>
        <v/>
      </c>
      <c r="L33" s="257" t="str">
        <f>IF(ISNUMBER(J33),IF(ISNA(VLOOKUP(J33,Forest_data[#All],3,FALSE)),#N/A, VLOOKUP(J33,Forest_data[#All],3,FALSE)),"")</f>
        <v/>
      </c>
      <c r="M33" s="257" t="str">
        <f>IF(ISNUMBER(J33),IF(ISNA(VLOOKUP(J33,Forest_data[#All],4,FALSE)),#N/A, VLOOKUP(J33,Forest_data[#All],4,FALSE)),"")</f>
        <v/>
      </c>
      <c r="N33" s="257" t="str">
        <f>IF(ISNUMBER(J33),IF(ISNA(VLOOKUP(J33,Forest_data[#All],5,FALSE)),#N/A, VLOOKUP(J33,Forest_data[#All],5,FALSE)),"")</f>
        <v/>
      </c>
      <c r="O33" s="257" t="str">
        <f>IF(ISNUMBER(J33),IF(ISNA(VLOOKUP(J33,Forest_data[#All],6,FALSE)),#N/A, VLOOKUP(J33,Forest_data[#All],6,FALSE)),"")</f>
        <v/>
      </c>
      <c r="P33" s="257" t="str">
        <f t="shared" si="5"/>
        <v/>
      </c>
      <c r="Q33" s="257" t="str">
        <f t="shared" si="0"/>
        <v/>
      </c>
      <c r="R33" s="257" t="str">
        <f t="shared" si="6"/>
        <v/>
      </c>
      <c r="S33" s="283" t="str">
        <f t="shared" si="1"/>
        <v/>
      </c>
      <c r="T33" s="258" t="str">
        <f t="shared" si="2"/>
        <v/>
      </c>
      <c r="U33" s="257" t="str">
        <f t="shared" si="3"/>
        <v/>
      </c>
      <c r="V33" s="257" t="str">
        <f t="shared" si="4"/>
        <v/>
      </c>
      <c r="W33" s="283" t="str">
        <f t="shared" si="7"/>
        <v/>
      </c>
      <c r="X33" s="253"/>
      <c r="Y33" s="253"/>
      <c r="Z33" s="293"/>
      <c r="AA33" s="293"/>
      <c r="AB33" s="293"/>
      <c r="AC33" s="293"/>
      <c r="AD33" s="293"/>
      <c r="AE33" s="293"/>
      <c r="AF33" s="293"/>
      <c r="AG33" s="293"/>
      <c r="AH33" s="293"/>
      <c r="AI33" s="293"/>
      <c r="AJ33" s="293"/>
      <c r="AK33" s="253"/>
      <c r="AL33" s="253"/>
      <c r="AM33" s="253"/>
      <c r="AN33" s="253"/>
      <c r="AO33" s="253"/>
      <c r="AP33" s="253"/>
      <c r="AQ33" s="253"/>
      <c r="AR33" s="253"/>
      <c r="AS33" s="253"/>
      <c r="AT33" s="253"/>
      <c r="AU33" s="253"/>
      <c r="AV33" s="59"/>
      <c r="BI33" s="262" t="s">
        <v>678</v>
      </c>
    </row>
    <row r="34" spans="2:61" ht="19.5" customHeight="1" x14ac:dyDescent="0.25">
      <c r="B34" s="61"/>
      <c r="C34" s="61"/>
      <c r="D34" s="61"/>
      <c r="E34" s="61"/>
      <c r="F34" s="61"/>
      <c r="I34" s="260">
        <v>19</v>
      </c>
      <c r="J34" s="255" t="str">
        <f>IF(I34&lt;=MAX(Forest_data[Age]),I34,"")</f>
        <v/>
      </c>
      <c r="K34" s="256" t="str">
        <f>IF(ISNUMBER(J34),LOOKUP(J34, Forest_data[[#All],[Age]],Forest_data[[#All],[Number of trees per ha]]),"")</f>
        <v/>
      </c>
      <c r="L34" s="257" t="str">
        <f>IF(ISNUMBER(J34),IF(ISNA(VLOOKUP(J34,Forest_data[#All],3,FALSE)),#N/A, VLOOKUP(J34,Forest_data[#All],3,FALSE)),"")</f>
        <v/>
      </c>
      <c r="M34" s="257" t="str">
        <f>IF(ISNUMBER(J34),IF(ISNA(VLOOKUP(J34,Forest_data[#All],4,FALSE)),#N/A, VLOOKUP(J34,Forest_data[#All],4,FALSE)),"")</f>
        <v/>
      </c>
      <c r="N34" s="257" t="str">
        <f>IF(ISNUMBER(J34),IF(ISNA(VLOOKUP(J34,Forest_data[#All],5,FALSE)),#N/A, VLOOKUP(J34,Forest_data[#All],5,FALSE)),"")</f>
        <v/>
      </c>
      <c r="O34" s="257" t="str">
        <f>IF(ISNUMBER(J34),IF(ISNA(VLOOKUP(J34,Forest_data[#All],6,FALSE)),#N/A, VLOOKUP(J34,Forest_data[#All],6,FALSE)),"")</f>
        <v/>
      </c>
      <c r="P34" s="257" t="str">
        <f t="shared" si="5"/>
        <v/>
      </c>
      <c r="Q34" s="257" t="str">
        <f t="shared" si="0"/>
        <v/>
      </c>
      <c r="R34" s="257" t="str">
        <f t="shared" si="6"/>
        <v/>
      </c>
      <c r="S34" s="283" t="str">
        <f t="shared" si="1"/>
        <v/>
      </c>
      <c r="T34" s="258" t="str">
        <f t="shared" si="2"/>
        <v/>
      </c>
      <c r="U34" s="257" t="str">
        <f t="shared" si="3"/>
        <v/>
      </c>
      <c r="V34" s="257" t="str">
        <f t="shared" si="4"/>
        <v/>
      </c>
      <c r="W34" s="283" t="str">
        <f t="shared" si="7"/>
        <v/>
      </c>
      <c r="X34" s="253"/>
      <c r="Y34" s="253"/>
      <c r="Z34" s="293"/>
      <c r="AA34" s="293"/>
      <c r="AB34" s="293"/>
      <c r="AC34" s="293"/>
      <c r="AD34" s="293"/>
      <c r="AE34" s="293"/>
      <c r="AF34" s="293"/>
      <c r="AG34" s="293"/>
      <c r="AH34" s="293"/>
      <c r="AI34" s="293"/>
      <c r="AJ34" s="293"/>
      <c r="AK34" s="253"/>
      <c r="AL34" s="253"/>
      <c r="AM34" s="253"/>
      <c r="AN34" s="253"/>
      <c r="AO34" s="253"/>
      <c r="AP34" s="253"/>
      <c r="AQ34" s="253"/>
      <c r="AR34" s="253"/>
      <c r="AS34" s="253"/>
      <c r="AT34" s="253"/>
      <c r="AU34" s="253"/>
      <c r="AV34" s="59"/>
      <c r="BI34" s="262" t="s">
        <v>1534</v>
      </c>
    </row>
    <row r="35" spans="2:61" ht="19.5" customHeight="1" x14ac:dyDescent="0.25">
      <c r="B35" s="61"/>
      <c r="C35" s="61"/>
      <c r="D35" s="61"/>
      <c r="E35" s="61"/>
      <c r="F35" s="61"/>
      <c r="I35" s="83">
        <v>20</v>
      </c>
      <c r="J35" s="255" t="str">
        <f>IF(I35&lt;=MAX(Forest_data[Age]),I35,"")</f>
        <v/>
      </c>
      <c r="K35" s="256" t="str">
        <f>IF(ISNUMBER(J35),LOOKUP(J35, Forest_data[[#All],[Age]],Forest_data[[#All],[Number of trees per ha]]),"")</f>
        <v/>
      </c>
      <c r="L35" s="257" t="str">
        <f>IF(ISNUMBER(J35),IF(ISNA(VLOOKUP(J35,Forest_data[#All],3,FALSE)),#N/A, VLOOKUP(J35,Forest_data[#All],3,FALSE)),"")</f>
        <v/>
      </c>
      <c r="M35" s="257" t="str">
        <f>IF(ISNUMBER(J35),IF(ISNA(VLOOKUP(J35,Forest_data[#All],4,FALSE)),#N/A, VLOOKUP(J35,Forest_data[#All],4,FALSE)),"")</f>
        <v/>
      </c>
      <c r="N35" s="257" t="str">
        <f>IF(ISNUMBER(J35),IF(ISNA(VLOOKUP(J35,Forest_data[#All],5,FALSE)),#N/A, VLOOKUP(J35,Forest_data[#All],5,FALSE)),"")</f>
        <v/>
      </c>
      <c r="O35" s="257" t="str">
        <f>IF(ISNUMBER(J35),IF(ISNA(VLOOKUP(J35,Forest_data[#All],6,FALSE)),#N/A, VLOOKUP(J35,Forest_data[#All],6,FALSE)),"")</f>
        <v/>
      </c>
      <c r="P35" s="257" t="str">
        <f t="shared" si="5"/>
        <v/>
      </c>
      <c r="Q35" s="257" t="str">
        <f t="shared" si="0"/>
        <v/>
      </c>
      <c r="R35" s="257" t="str">
        <f t="shared" si="6"/>
        <v/>
      </c>
      <c r="S35" s="283" t="str">
        <f t="shared" si="1"/>
        <v/>
      </c>
      <c r="T35" s="258" t="str">
        <f t="shared" si="2"/>
        <v/>
      </c>
      <c r="U35" s="257" t="str">
        <f t="shared" si="3"/>
        <v/>
      </c>
      <c r="V35" s="257" t="str">
        <f t="shared" si="4"/>
        <v/>
      </c>
      <c r="W35" s="283" t="str">
        <f t="shared" si="7"/>
        <v/>
      </c>
      <c r="X35" s="253"/>
      <c r="Y35" s="253"/>
      <c r="Z35" s="293"/>
      <c r="AA35" s="293"/>
      <c r="AB35" s="293"/>
      <c r="AC35" s="293"/>
      <c r="AD35" s="293"/>
      <c r="AE35" s="293"/>
      <c r="AF35" s="293"/>
      <c r="AG35" s="293"/>
      <c r="AH35" s="293"/>
      <c r="AI35" s="293"/>
      <c r="AJ35" s="293"/>
      <c r="AK35" s="253"/>
      <c r="AL35" s="253"/>
      <c r="AM35" s="253"/>
      <c r="AN35" s="253"/>
      <c r="AO35" s="253"/>
      <c r="AP35" s="253"/>
      <c r="AQ35" s="253"/>
      <c r="AR35" s="253"/>
      <c r="AS35" s="253"/>
      <c r="AT35" s="253"/>
      <c r="AU35" s="253"/>
      <c r="AV35" s="59"/>
    </row>
    <row r="36" spans="2:61" ht="19.5" customHeight="1" x14ac:dyDescent="0.25">
      <c r="B36" s="61"/>
      <c r="C36" s="61"/>
      <c r="D36" s="61"/>
      <c r="E36" s="61"/>
      <c r="F36" s="61"/>
      <c r="I36" s="83">
        <v>21</v>
      </c>
      <c r="J36" s="255" t="str">
        <f>IF(I36&lt;=MAX(Forest_data[Age]),I36,"")</f>
        <v/>
      </c>
      <c r="K36" s="256" t="str">
        <f>IF(ISNUMBER(J36),LOOKUP(J36, Forest_data[[#All],[Age]],Forest_data[[#All],[Number of trees per ha]]),"")</f>
        <v/>
      </c>
      <c r="L36" s="257" t="str">
        <f>IF(ISNUMBER(J36),IF(ISNA(VLOOKUP(J36,Forest_data[#All],3,FALSE)),#N/A, VLOOKUP(J36,Forest_data[#All],3,FALSE)),"")</f>
        <v/>
      </c>
      <c r="M36" s="257" t="str">
        <f>IF(ISNUMBER(J36),IF(ISNA(VLOOKUP(J36,Forest_data[#All],4,FALSE)),#N/A, VLOOKUP(J36,Forest_data[#All],4,FALSE)),"")</f>
        <v/>
      </c>
      <c r="N36" s="257" t="str">
        <f>IF(ISNUMBER(J36),IF(ISNA(VLOOKUP(J36,Forest_data[#All],5,FALSE)),#N/A, VLOOKUP(J36,Forest_data[#All],5,FALSE)),"")</f>
        <v/>
      </c>
      <c r="O36" s="257" t="str">
        <f>IF(ISNUMBER(J36),IF(ISNA(VLOOKUP(J36,Forest_data[#All],6,FALSE)),#N/A, VLOOKUP(J36,Forest_data[#All],6,FALSE)),"")</f>
        <v/>
      </c>
      <c r="P36" s="257" t="str">
        <f t="shared" si="5"/>
        <v/>
      </c>
      <c r="Q36" s="257" t="str">
        <f t="shared" si="0"/>
        <v/>
      </c>
      <c r="R36" s="257" t="str">
        <f t="shared" si="6"/>
        <v/>
      </c>
      <c r="S36" s="283" t="str">
        <f t="shared" si="1"/>
        <v/>
      </c>
      <c r="T36" s="258" t="str">
        <f t="shared" si="2"/>
        <v/>
      </c>
      <c r="U36" s="257" t="str">
        <f t="shared" si="3"/>
        <v/>
      </c>
      <c r="V36" s="257" t="str">
        <f t="shared" si="4"/>
        <v/>
      </c>
      <c r="W36" s="283" t="str">
        <f t="shared" si="7"/>
        <v/>
      </c>
      <c r="X36" s="253"/>
      <c r="Y36" s="253"/>
      <c r="Z36" s="293"/>
      <c r="AA36" s="293"/>
      <c r="AB36" s="293"/>
      <c r="AC36" s="293"/>
      <c r="AD36" s="293"/>
      <c r="AE36" s="293"/>
      <c r="AF36" s="293"/>
      <c r="AG36" s="293"/>
      <c r="AH36" s="293"/>
      <c r="AI36" s="293"/>
      <c r="AJ36" s="293"/>
      <c r="AK36" s="253"/>
      <c r="AL36" s="253"/>
      <c r="AM36" s="253"/>
      <c r="AN36" s="253"/>
      <c r="AO36" s="253"/>
      <c r="AP36" s="253"/>
      <c r="AQ36" s="253"/>
      <c r="AR36" s="253"/>
      <c r="AS36" s="253"/>
      <c r="AT36" s="253"/>
      <c r="AU36" s="253"/>
      <c r="AV36" s="59"/>
      <c r="BI36" s="263">
        <v>4</v>
      </c>
    </row>
    <row r="37" spans="2:61" ht="19.5" customHeight="1" x14ac:dyDescent="0.25">
      <c r="B37" s="61"/>
      <c r="C37" s="61"/>
      <c r="D37" s="61"/>
      <c r="E37" s="61"/>
      <c r="F37" s="61"/>
      <c r="I37" s="83">
        <v>22</v>
      </c>
      <c r="J37" s="255" t="str">
        <f>IF(I37&lt;=MAX(Forest_data[Age]),I37,"")</f>
        <v/>
      </c>
      <c r="K37" s="256" t="str">
        <f>IF(ISNUMBER(J37),LOOKUP(J37, Forest_data[[#All],[Age]],Forest_data[[#All],[Number of trees per ha]]),"")</f>
        <v/>
      </c>
      <c r="L37" s="257" t="str">
        <f>IF(ISNUMBER(J37),IF(ISNA(VLOOKUP(J37,Forest_data[#All],3,FALSE)),#N/A, VLOOKUP(J37,Forest_data[#All],3,FALSE)),"")</f>
        <v/>
      </c>
      <c r="M37" s="257" t="str">
        <f>IF(ISNUMBER(J37),IF(ISNA(VLOOKUP(J37,Forest_data[#All],4,FALSE)),#N/A, VLOOKUP(J37,Forest_data[#All],4,FALSE)),"")</f>
        <v/>
      </c>
      <c r="N37" s="257" t="str">
        <f>IF(ISNUMBER(J37),IF(ISNA(VLOOKUP(J37,Forest_data[#All],5,FALSE)),#N/A, VLOOKUP(J37,Forest_data[#All],5,FALSE)),"")</f>
        <v/>
      </c>
      <c r="O37" s="257" t="str">
        <f>IF(ISNUMBER(J37),IF(ISNA(VLOOKUP(J37,Forest_data[#All],6,FALSE)),#N/A, VLOOKUP(J37,Forest_data[#All],6,FALSE)),"")</f>
        <v/>
      </c>
      <c r="P37" s="257" t="str">
        <f t="shared" si="5"/>
        <v/>
      </c>
      <c r="Q37" s="257" t="str">
        <f t="shared" si="0"/>
        <v/>
      </c>
      <c r="R37" s="257" t="str">
        <f t="shared" si="6"/>
        <v/>
      </c>
      <c r="S37" s="283" t="str">
        <f t="shared" si="1"/>
        <v/>
      </c>
      <c r="T37" s="258" t="str">
        <f t="shared" si="2"/>
        <v/>
      </c>
      <c r="U37" s="257" t="str">
        <f t="shared" si="3"/>
        <v/>
      </c>
      <c r="V37" s="257" t="str">
        <f t="shared" si="4"/>
        <v/>
      </c>
      <c r="W37" s="283" t="str">
        <f t="shared" si="7"/>
        <v/>
      </c>
      <c r="X37" s="253"/>
      <c r="Y37" s="253"/>
      <c r="Z37" s="293"/>
      <c r="AA37" s="293"/>
      <c r="AB37" s="293"/>
      <c r="AC37" s="293"/>
      <c r="AD37" s="293"/>
      <c r="AE37" s="293"/>
      <c r="AF37" s="293"/>
      <c r="AG37" s="293"/>
      <c r="AH37" s="293"/>
      <c r="AI37" s="293"/>
      <c r="AJ37" s="293"/>
      <c r="AK37" s="253"/>
      <c r="AL37" s="253"/>
      <c r="AM37" s="253"/>
      <c r="AN37" s="253"/>
      <c r="AO37" s="253"/>
      <c r="AP37" s="253"/>
      <c r="AQ37" s="253"/>
      <c r="AR37" s="253"/>
      <c r="AS37" s="253"/>
      <c r="AT37" s="253"/>
      <c r="AU37" s="253"/>
      <c r="AV37" s="59"/>
    </row>
    <row r="38" spans="2:61" ht="19.5" customHeight="1" x14ac:dyDescent="0.25">
      <c r="B38" s="61"/>
      <c r="C38" s="61"/>
      <c r="D38" s="61"/>
      <c r="E38" s="61"/>
      <c r="F38" s="61"/>
      <c r="I38" s="260">
        <v>23</v>
      </c>
      <c r="J38" s="255" t="str">
        <f>IF(I38&lt;=MAX(Forest_data[Age]),I38,"")</f>
        <v/>
      </c>
      <c r="K38" s="256" t="str">
        <f>IF(ISNUMBER(J38),LOOKUP(J38, Forest_data[[#All],[Age]],Forest_data[[#All],[Number of trees per ha]]),"")</f>
        <v/>
      </c>
      <c r="L38" s="257" t="str">
        <f>IF(ISNUMBER(J38),IF(ISNA(VLOOKUP(J38,Forest_data[#All],3,FALSE)),#N/A, VLOOKUP(J38,Forest_data[#All],3,FALSE)),"")</f>
        <v/>
      </c>
      <c r="M38" s="257" t="str">
        <f>IF(ISNUMBER(J38),IF(ISNA(VLOOKUP(J38,Forest_data[#All],4,FALSE)),#N/A, VLOOKUP(J38,Forest_data[#All],4,FALSE)),"")</f>
        <v/>
      </c>
      <c r="N38" s="257" t="str">
        <f>IF(ISNUMBER(J38),IF(ISNA(VLOOKUP(J38,Forest_data[#All],5,FALSE)),#N/A, VLOOKUP(J38,Forest_data[#All],5,FALSE)),"")</f>
        <v/>
      </c>
      <c r="O38" s="257" t="str">
        <f>IF(ISNUMBER(J38),IF(ISNA(VLOOKUP(J38,Forest_data[#All],6,FALSE)),#N/A, VLOOKUP(J38,Forest_data[#All],6,FALSE)),"")</f>
        <v/>
      </c>
      <c r="P38" s="257" t="str">
        <f t="shared" si="5"/>
        <v/>
      </c>
      <c r="Q38" s="257" t="str">
        <f t="shared" si="0"/>
        <v/>
      </c>
      <c r="R38" s="257" t="str">
        <f t="shared" si="6"/>
        <v/>
      </c>
      <c r="S38" s="283" t="str">
        <f t="shared" si="1"/>
        <v/>
      </c>
      <c r="T38" s="258" t="str">
        <f t="shared" si="2"/>
        <v/>
      </c>
      <c r="U38" s="257" t="str">
        <f t="shared" si="3"/>
        <v/>
      </c>
      <c r="V38" s="257" t="str">
        <f t="shared" si="4"/>
        <v/>
      </c>
      <c r="W38" s="283" t="str">
        <f t="shared" si="7"/>
        <v/>
      </c>
      <c r="X38" s="253"/>
      <c r="Y38" s="253"/>
      <c r="Z38" s="293"/>
      <c r="AA38" s="293"/>
      <c r="AB38" s="293"/>
      <c r="AC38" s="293"/>
      <c r="AD38" s="293"/>
      <c r="AE38" s="293"/>
      <c r="AF38" s="293"/>
      <c r="AG38" s="293"/>
      <c r="AH38" s="293"/>
      <c r="AI38" s="293"/>
      <c r="AJ38" s="293"/>
      <c r="AK38" s="253"/>
      <c r="AL38" s="253"/>
      <c r="AM38" s="253"/>
      <c r="AN38" s="253"/>
      <c r="AO38" s="253"/>
      <c r="AP38" s="253"/>
      <c r="AQ38" s="253"/>
      <c r="AR38" s="253"/>
      <c r="AS38" s="253"/>
      <c r="AT38" s="253"/>
      <c r="AU38" s="253"/>
      <c r="AV38" s="59"/>
    </row>
    <row r="39" spans="2:61" ht="19.5" customHeight="1" x14ac:dyDescent="0.25">
      <c r="B39" s="61"/>
      <c r="C39" s="61"/>
      <c r="D39" s="61"/>
      <c r="E39" s="61"/>
      <c r="F39" s="61"/>
      <c r="I39" s="83">
        <v>24</v>
      </c>
      <c r="J39" s="255" t="str">
        <f>IF(I39&lt;=MAX(Forest_data[Age]),I39,"")</f>
        <v/>
      </c>
      <c r="K39" s="256" t="str">
        <f>IF(ISNUMBER(J39),LOOKUP(J39, Forest_data[[#All],[Age]],Forest_data[[#All],[Number of trees per ha]]),"")</f>
        <v/>
      </c>
      <c r="L39" s="257" t="str">
        <f>IF(ISNUMBER(J39),IF(ISNA(VLOOKUP(J39,Forest_data[#All],3,FALSE)),#N/A, VLOOKUP(J39,Forest_data[#All],3,FALSE)),"")</f>
        <v/>
      </c>
      <c r="M39" s="257" t="str">
        <f>IF(ISNUMBER(J39),IF(ISNA(VLOOKUP(J39,Forest_data[#All],4,FALSE)),#N/A, VLOOKUP(J39,Forest_data[#All],4,FALSE)),"")</f>
        <v/>
      </c>
      <c r="N39" s="257" t="str">
        <f>IF(ISNUMBER(J39),IF(ISNA(VLOOKUP(J39,Forest_data[#All],5,FALSE)),#N/A, VLOOKUP(J39,Forest_data[#All],5,FALSE)),"")</f>
        <v/>
      </c>
      <c r="O39" s="257" t="str">
        <f>IF(ISNUMBER(J39),IF(ISNA(VLOOKUP(J39,Forest_data[#All],6,FALSE)),#N/A, VLOOKUP(J39,Forest_data[#All],6,FALSE)),"")</f>
        <v/>
      </c>
      <c r="P39" s="257" t="str">
        <f t="shared" si="5"/>
        <v/>
      </c>
      <c r="Q39" s="257" t="str">
        <f t="shared" si="0"/>
        <v/>
      </c>
      <c r="R39" s="257" t="str">
        <f t="shared" si="6"/>
        <v/>
      </c>
      <c r="S39" s="283" t="str">
        <f t="shared" si="1"/>
        <v/>
      </c>
      <c r="T39" s="258" t="str">
        <f t="shared" si="2"/>
        <v/>
      </c>
      <c r="U39" s="257" t="str">
        <f t="shared" si="3"/>
        <v/>
      </c>
      <c r="V39" s="257" t="str">
        <f t="shared" si="4"/>
        <v/>
      </c>
      <c r="W39" s="283" t="str">
        <f t="shared" si="7"/>
        <v/>
      </c>
      <c r="X39" s="253"/>
      <c r="Y39" s="253"/>
      <c r="Z39" s="293"/>
      <c r="AA39" s="293"/>
      <c r="AB39" s="293"/>
      <c r="AC39" s="293"/>
      <c r="AD39" s="293"/>
      <c r="AE39" s="293"/>
      <c r="AF39" s="293"/>
      <c r="AG39" s="293"/>
      <c r="AH39" s="293"/>
      <c r="AI39" s="293"/>
      <c r="AJ39" s="293"/>
      <c r="AK39" s="253"/>
      <c r="AL39" s="253"/>
      <c r="AM39" s="253"/>
      <c r="AN39" s="253"/>
      <c r="AO39" s="253"/>
      <c r="AP39" s="253"/>
      <c r="AQ39" s="253"/>
      <c r="AR39" s="253"/>
      <c r="AS39" s="253"/>
      <c r="AT39" s="253"/>
      <c r="AU39" s="253"/>
      <c r="AV39" s="59"/>
    </row>
    <row r="40" spans="2:61" ht="19.5" customHeight="1" x14ac:dyDescent="0.25">
      <c r="B40" s="61"/>
      <c r="C40" s="61"/>
      <c r="D40" s="61"/>
      <c r="E40" s="61"/>
      <c r="F40" s="61"/>
      <c r="I40" s="83">
        <v>25</v>
      </c>
      <c r="J40" s="255" t="str">
        <f>IF(I40&lt;=MAX(Forest_data[Age]),I40,"")</f>
        <v/>
      </c>
      <c r="K40" s="256" t="str">
        <f>IF(ISNUMBER(J40),LOOKUP(J40, Forest_data[[#All],[Age]],Forest_data[[#All],[Number of trees per ha]]),"")</f>
        <v/>
      </c>
      <c r="L40" s="257" t="str">
        <f>IF(ISNUMBER(J40),IF(ISNA(VLOOKUP(J40,Forest_data[#All],3,FALSE)),#N/A, VLOOKUP(J40,Forest_data[#All],3,FALSE)),"")</f>
        <v/>
      </c>
      <c r="M40" s="257" t="str">
        <f>IF(ISNUMBER(J40),IF(ISNA(VLOOKUP(J40,Forest_data[#All],4,FALSE)),#N/A, VLOOKUP(J40,Forest_data[#All],4,FALSE)),"")</f>
        <v/>
      </c>
      <c r="N40" s="257" t="str">
        <f>IF(ISNUMBER(J40),IF(ISNA(VLOOKUP(J40,Forest_data[#All],5,FALSE)),#N/A, VLOOKUP(J40,Forest_data[#All],5,FALSE)),"")</f>
        <v/>
      </c>
      <c r="O40" s="257" t="str">
        <f>IF(ISNUMBER(J40),IF(ISNA(VLOOKUP(J40,Forest_data[#All],6,FALSE)),#N/A, VLOOKUP(J40,Forest_data[#All],6,FALSE)),"")</f>
        <v/>
      </c>
      <c r="P40" s="257" t="str">
        <f t="shared" si="5"/>
        <v/>
      </c>
      <c r="Q40" s="257" t="str">
        <f t="shared" si="0"/>
        <v/>
      </c>
      <c r="R40" s="257" t="str">
        <f t="shared" si="6"/>
        <v/>
      </c>
      <c r="S40" s="283" t="str">
        <f t="shared" si="1"/>
        <v/>
      </c>
      <c r="T40" s="258" t="str">
        <f t="shared" si="2"/>
        <v/>
      </c>
      <c r="U40" s="257" t="str">
        <f t="shared" si="3"/>
        <v/>
      </c>
      <c r="V40" s="257" t="str">
        <f t="shared" si="4"/>
        <v/>
      </c>
      <c r="W40" s="283" t="str">
        <f t="shared" si="7"/>
        <v/>
      </c>
      <c r="X40" s="253"/>
      <c r="Y40" s="293"/>
      <c r="Z40" s="293"/>
      <c r="AA40" s="293"/>
      <c r="AB40" s="293"/>
      <c r="AC40" s="293"/>
      <c r="AD40" s="293"/>
      <c r="AE40" s="293"/>
      <c r="AF40" s="293"/>
      <c r="AG40" s="293"/>
      <c r="AH40" s="293"/>
      <c r="AI40" s="293"/>
      <c r="AJ40" s="293"/>
      <c r="AK40" s="293"/>
      <c r="AL40" s="253"/>
      <c r="AM40" s="253"/>
      <c r="AN40" s="253"/>
      <c r="AO40" s="253"/>
      <c r="AP40" s="253"/>
      <c r="AQ40" s="253"/>
      <c r="AR40" s="253"/>
      <c r="AS40" s="253"/>
      <c r="AT40" s="253"/>
      <c r="AU40" s="253"/>
      <c r="AV40" s="59"/>
    </row>
    <row r="41" spans="2:61" ht="19.5" customHeight="1" x14ac:dyDescent="0.25">
      <c r="B41" s="61"/>
      <c r="C41" s="61"/>
      <c r="D41" s="61"/>
      <c r="E41" s="61"/>
      <c r="F41" s="61"/>
      <c r="I41" s="83">
        <v>26</v>
      </c>
      <c r="J41" s="255" t="str">
        <f>IF(I41&lt;=MAX(Forest_data[Age]),I41,"")</f>
        <v/>
      </c>
      <c r="K41" s="256" t="str">
        <f>IF(ISNUMBER(J41),LOOKUP(J41, Forest_data[[#All],[Age]],Forest_data[[#All],[Number of trees per ha]]),"")</f>
        <v/>
      </c>
      <c r="L41" s="257" t="str">
        <f>IF(ISNUMBER(J41),IF(ISNA(VLOOKUP(J41,Forest_data[#All],3,FALSE)),#N/A, VLOOKUP(J41,Forest_data[#All],3,FALSE)),"")</f>
        <v/>
      </c>
      <c r="M41" s="257" t="str">
        <f>IF(ISNUMBER(J41),IF(ISNA(VLOOKUP(J41,Forest_data[#All],4,FALSE)),#N/A, VLOOKUP(J41,Forest_data[#All],4,FALSE)),"")</f>
        <v/>
      </c>
      <c r="N41" s="257" t="str">
        <f>IF(ISNUMBER(J41),IF(ISNA(VLOOKUP(J41,Forest_data[#All],5,FALSE)),#N/A, VLOOKUP(J41,Forest_data[#All],5,FALSE)),"")</f>
        <v/>
      </c>
      <c r="O41" s="257" t="str">
        <f>IF(ISNUMBER(J41),IF(ISNA(VLOOKUP(J41,Forest_data[#All],6,FALSE)),#N/A, VLOOKUP(J41,Forest_data[#All],6,FALSE)),"")</f>
        <v/>
      </c>
      <c r="P41" s="257" t="str">
        <f t="shared" si="5"/>
        <v/>
      </c>
      <c r="Q41" s="257" t="str">
        <f t="shared" si="0"/>
        <v/>
      </c>
      <c r="R41" s="257" t="str">
        <f t="shared" si="6"/>
        <v/>
      </c>
      <c r="S41" s="283" t="str">
        <f t="shared" si="1"/>
        <v/>
      </c>
      <c r="T41" s="258" t="str">
        <f t="shared" si="2"/>
        <v/>
      </c>
      <c r="U41" s="257" t="str">
        <f t="shared" si="3"/>
        <v/>
      </c>
      <c r="V41" s="257" t="str">
        <f t="shared" si="4"/>
        <v/>
      </c>
      <c r="W41" s="283" t="str">
        <f t="shared" si="7"/>
        <v/>
      </c>
      <c r="X41" s="253"/>
      <c r="Y41" s="253"/>
      <c r="Z41" s="253"/>
      <c r="AA41" s="253"/>
      <c r="AB41" s="253"/>
      <c r="AC41" s="253"/>
      <c r="AD41" s="253"/>
      <c r="AE41" s="253"/>
      <c r="AF41" s="253"/>
      <c r="AG41" s="253"/>
      <c r="AH41" s="253"/>
      <c r="AI41" s="253"/>
      <c r="AJ41" s="253"/>
      <c r="AK41" s="253"/>
      <c r="AL41" s="253"/>
      <c r="AM41" s="253"/>
      <c r="AN41" s="253"/>
      <c r="AO41" s="253"/>
      <c r="AP41" s="253"/>
      <c r="AQ41" s="253"/>
      <c r="AR41" s="253"/>
      <c r="AS41" s="253"/>
      <c r="AT41" s="253"/>
      <c r="AU41" s="253"/>
      <c r="AV41" s="59"/>
    </row>
    <row r="42" spans="2:61" ht="19.5" customHeight="1" x14ac:dyDescent="0.25">
      <c r="B42" s="61"/>
      <c r="C42" s="61"/>
      <c r="D42" s="61"/>
      <c r="E42" s="61"/>
      <c r="F42" s="61"/>
      <c r="I42" s="260">
        <v>27</v>
      </c>
      <c r="J42" s="255" t="str">
        <f>IF(I42&lt;=MAX(Forest_data[Age]),I42,"")</f>
        <v/>
      </c>
      <c r="K42" s="256" t="str">
        <f>IF(ISNUMBER(J42),LOOKUP(J42, Forest_data[[#All],[Age]],Forest_data[[#All],[Number of trees per ha]]),"")</f>
        <v/>
      </c>
      <c r="L42" s="257" t="str">
        <f>IF(ISNUMBER(J42),IF(ISNA(VLOOKUP(J42,Forest_data[#All],3,FALSE)),#N/A, VLOOKUP(J42,Forest_data[#All],3,FALSE)),"")</f>
        <v/>
      </c>
      <c r="M42" s="257" t="str">
        <f>IF(ISNUMBER(J42),IF(ISNA(VLOOKUP(J42,Forest_data[#All],4,FALSE)),#N/A, VLOOKUP(J42,Forest_data[#All],4,FALSE)),"")</f>
        <v/>
      </c>
      <c r="N42" s="257" t="str">
        <f>IF(ISNUMBER(J42),IF(ISNA(VLOOKUP(J42,Forest_data[#All],5,FALSE)),#N/A, VLOOKUP(J42,Forest_data[#All],5,FALSE)),"")</f>
        <v/>
      </c>
      <c r="O42" s="257" t="str">
        <f>IF(ISNUMBER(J42),IF(ISNA(VLOOKUP(J42,Forest_data[#All],6,FALSE)),#N/A, VLOOKUP(J42,Forest_data[#All],6,FALSE)),"")</f>
        <v/>
      </c>
      <c r="P42" s="257" t="str">
        <f t="shared" si="5"/>
        <v/>
      </c>
      <c r="Q42" s="257" t="str">
        <f t="shared" si="0"/>
        <v/>
      </c>
      <c r="R42" s="257" t="str">
        <f t="shared" si="6"/>
        <v/>
      </c>
      <c r="S42" s="283" t="str">
        <f t="shared" si="1"/>
        <v/>
      </c>
      <c r="T42" s="258" t="str">
        <f t="shared" si="2"/>
        <v/>
      </c>
      <c r="U42" s="257" t="str">
        <f t="shared" si="3"/>
        <v/>
      </c>
      <c r="V42" s="257" t="str">
        <f t="shared" si="4"/>
        <v/>
      </c>
      <c r="W42" s="283" t="str">
        <f t="shared" si="7"/>
        <v/>
      </c>
      <c r="X42" s="253"/>
      <c r="Y42" s="253"/>
      <c r="Z42" s="253"/>
      <c r="AA42" s="253"/>
      <c r="AB42" s="253"/>
      <c r="AC42" s="253"/>
      <c r="AD42" s="253"/>
      <c r="AE42" s="253"/>
      <c r="AF42" s="253"/>
      <c r="AG42" s="253"/>
      <c r="AH42" s="253"/>
      <c r="AI42" s="253"/>
      <c r="AJ42" s="253"/>
      <c r="AK42" s="253"/>
      <c r="AL42" s="253"/>
      <c r="AM42" s="253"/>
      <c r="AN42" s="253"/>
      <c r="AO42" s="253"/>
      <c r="AP42" s="253"/>
      <c r="AQ42" s="253"/>
      <c r="AR42" s="253"/>
      <c r="AS42" s="253"/>
      <c r="AT42" s="253"/>
      <c r="AU42" s="253"/>
      <c r="AV42" s="59"/>
    </row>
    <row r="43" spans="2:61" ht="19.5" customHeight="1" x14ac:dyDescent="0.25">
      <c r="B43" s="61"/>
      <c r="C43" s="61"/>
      <c r="D43" s="61"/>
      <c r="E43" s="61"/>
      <c r="F43" s="61"/>
      <c r="I43" s="83">
        <v>28</v>
      </c>
      <c r="J43" s="255" t="str">
        <f>IF(I43&lt;=MAX(Forest_data[Age]),I43,"")</f>
        <v/>
      </c>
      <c r="K43" s="256" t="str">
        <f>IF(ISNUMBER(J43),LOOKUP(J43, Forest_data[[#All],[Age]],Forest_data[[#All],[Number of trees per ha]]),"")</f>
        <v/>
      </c>
      <c r="L43" s="257" t="str">
        <f>IF(ISNUMBER(J43),IF(ISNA(VLOOKUP(J43,Forest_data[#All],3,FALSE)),#N/A, VLOOKUP(J43,Forest_data[#All],3,FALSE)),"")</f>
        <v/>
      </c>
      <c r="M43" s="257" t="str">
        <f>IF(ISNUMBER(J43),IF(ISNA(VLOOKUP(J43,Forest_data[#All],4,FALSE)),#N/A, VLOOKUP(J43,Forest_data[#All],4,FALSE)),"")</f>
        <v/>
      </c>
      <c r="N43" s="257" t="str">
        <f>IF(ISNUMBER(J43),IF(ISNA(VLOOKUP(J43,Forest_data[#All],5,FALSE)),#N/A, VLOOKUP(J43,Forest_data[#All],5,FALSE)),"")</f>
        <v/>
      </c>
      <c r="O43" s="257" t="str">
        <f>IF(ISNUMBER(J43),IF(ISNA(VLOOKUP(J43,Forest_data[#All],6,FALSE)),#N/A, VLOOKUP(J43,Forest_data[#All],6,FALSE)),"")</f>
        <v/>
      </c>
      <c r="P43" s="257" t="str">
        <f t="shared" si="5"/>
        <v/>
      </c>
      <c r="Q43" s="257" t="str">
        <f t="shared" si="0"/>
        <v/>
      </c>
      <c r="R43" s="257" t="str">
        <f t="shared" si="6"/>
        <v/>
      </c>
      <c r="S43" s="283" t="str">
        <f t="shared" si="1"/>
        <v/>
      </c>
      <c r="T43" s="258" t="str">
        <f t="shared" si="2"/>
        <v/>
      </c>
      <c r="U43" s="257" t="str">
        <f t="shared" si="3"/>
        <v/>
      </c>
      <c r="V43" s="257" t="str">
        <f t="shared" si="4"/>
        <v/>
      </c>
      <c r="W43" s="283" t="str">
        <f t="shared" si="7"/>
        <v/>
      </c>
      <c r="X43" s="253"/>
      <c r="Y43" s="253"/>
      <c r="Z43" s="253"/>
      <c r="AA43" s="253"/>
      <c r="AB43" s="253"/>
      <c r="AC43" s="253"/>
      <c r="AD43" s="253"/>
      <c r="AE43" s="253"/>
      <c r="AF43" s="253"/>
      <c r="AG43" s="253"/>
      <c r="AH43" s="253"/>
      <c r="AI43" s="253"/>
      <c r="AJ43" s="253"/>
      <c r="AK43" s="253"/>
      <c r="AL43" s="253"/>
      <c r="AM43" s="253"/>
      <c r="AN43" s="253"/>
      <c r="AO43" s="253"/>
      <c r="AP43" s="253"/>
      <c r="AQ43" s="253"/>
      <c r="AR43" s="253"/>
      <c r="AS43" s="253"/>
      <c r="AT43" s="253"/>
      <c r="AU43" s="253"/>
      <c r="AV43" s="59"/>
      <c r="BE43" s="61">
        <v>2</v>
      </c>
    </row>
    <row r="44" spans="2:61" ht="19.5" customHeight="1" x14ac:dyDescent="0.25">
      <c r="B44" s="61"/>
      <c r="C44" s="61"/>
      <c r="D44" s="61"/>
      <c r="E44" s="61"/>
      <c r="F44" s="61"/>
      <c r="I44" s="83">
        <v>29</v>
      </c>
      <c r="J44" s="255" t="str">
        <f>IF(I44&lt;=MAX(Forest_data[Age]),I44,"")</f>
        <v/>
      </c>
      <c r="K44" s="256" t="str">
        <f>IF(ISNUMBER(J44),LOOKUP(J44, Forest_data[[#All],[Age]],Forest_data[[#All],[Number of trees per ha]]),"")</f>
        <v/>
      </c>
      <c r="L44" s="257" t="str">
        <f>IF(ISNUMBER(J44),IF(ISNA(VLOOKUP(J44,Forest_data[#All],3,FALSE)),#N/A, VLOOKUP(J44,Forest_data[#All],3,FALSE)),"")</f>
        <v/>
      </c>
      <c r="M44" s="257" t="str">
        <f>IF(ISNUMBER(J44),IF(ISNA(VLOOKUP(J44,Forest_data[#All],4,FALSE)),#N/A, VLOOKUP(J44,Forest_data[#All],4,FALSE)),"")</f>
        <v/>
      </c>
      <c r="N44" s="257" t="str">
        <f>IF(ISNUMBER(J44),IF(ISNA(VLOOKUP(J44,Forest_data[#All],5,FALSE)),#N/A, VLOOKUP(J44,Forest_data[#All],5,FALSE)),"")</f>
        <v/>
      </c>
      <c r="O44" s="257" t="str">
        <f>IF(ISNUMBER(J44),IF(ISNA(VLOOKUP(J44,Forest_data[#All],6,FALSE)),#N/A, VLOOKUP(J44,Forest_data[#All],6,FALSE)),"")</f>
        <v/>
      </c>
      <c r="P44" s="257" t="str">
        <f t="shared" si="5"/>
        <v/>
      </c>
      <c r="Q44" s="257" t="str">
        <f t="shared" si="0"/>
        <v/>
      </c>
      <c r="R44" s="257" t="str">
        <f t="shared" si="6"/>
        <v/>
      </c>
      <c r="S44" s="283" t="str">
        <f t="shared" si="1"/>
        <v/>
      </c>
      <c r="T44" s="258" t="str">
        <f t="shared" si="2"/>
        <v/>
      </c>
      <c r="U44" s="257" t="str">
        <f t="shared" si="3"/>
        <v/>
      </c>
      <c r="V44" s="257" t="str">
        <f t="shared" si="4"/>
        <v/>
      </c>
      <c r="W44" s="283" t="str">
        <f t="shared" si="7"/>
        <v/>
      </c>
      <c r="X44" s="253"/>
      <c r="Y44" s="253"/>
      <c r="Z44" s="253"/>
      <c r="AA44" s="253"/>
      <c r="AB44" s="253"/>
      <c r="AC44" s="253"/>
      <c r="AD44" s="253"/>
      <c r="AE44" s="253"/>
      <c r="AF44" s="253"/>
      <c r="AG44" s="253"/>
      <c r="AH44" s="253"/>
      <c r="AI44" s="253"/>
      <c r="AJ44" s="253"/>
      <c r="AK44" s="253"/>
      <c r="AL44" s="253"/>
      <c r="AM44" s="253"/>
      <c r="AN44" s="253"/>
      <c r="AO44" s="253"/>
      <c r="AP44" s="253"/>
      <c r="AQ44" s="253"/>
      <c r="AR44" s="253"/>
      <c r="AS44" s="253"/>
      <c r="AT44" s="253"/>
      <c r="AU44" s="253"/>
      <c r="AV44" s="59"/>
    </row>
    <row r="45" spans="2:61" ht="19.5" customHeight="1" x14ac:dyDescent="0.25">
      <c r="B45" s="61"/>
      <c r="C45" s="61"/>
      <c r="D45" s="61"/>
      <c r="E45" s="61"/>
      <c r="F45" s="61"/>
      <c r="I45" s="83">
        <v>30</v>
      </c>
      <c r="J45" s="255" t="str">
        <f>IF(I45&lt;=MAX(Forest_data[Age]),I45,"")</f>
        <v/>
      </c>
      <c r="K45" s="256" t="str">
        <f>IF(ISNUMBER(J45),LOOKUP(J45, Forest_data[[#All],[Age]],Forest_data[[#All],[Number of trees per ha]]),"")</f>
        <v/>
      </c>
      <c r="L45" s="257" t="str">
        <f>IF(ISNUMBER(J45),IF(ISNA(VLOOKUP(J45,Forest_data[#All],3,FALSE)),#N/A, VLOOKUP(J45,Forest_data[#All],3,FALSE)),"")</f>
        <v/>
      </c>
      <c r="M45" s="257" t="str">
        <f>IF(ISNUMBER(J45),IF(ISNA(VLOOKUP(J45,Forest_data[#All],4,FALSE)),#N/A, VLOOKUP(J45,Forest_data[#All],4,FALSE)),"")</f>
        <v/>
      </c>
      <c r="N45" s="257" t="str">
        <f>IF(ISNUMBER(J45),IF(ISNA(VLOOKUP(J45,Forest_data[#All],5,FALSE)),#N/A, VLOOKUP(J45,Forest_data[#All],5,FALSE)),"")</f>
        <v/>
      </c>
      <c r="O45" s="257" t="str">
        <f>IF(ISNUMBER(J45),IF(ISNA(VLOOKUP(J45,Forest_data[#All],6,FALSE)),#N/A, VLOOKUP(J45,Forest_data[#All],6,FALSE)),"")</f>
        <v/>
      </c>
      <c r="P45" s="257" t="str">
        <f t="shared" si="5"/>
        <v/>
      </c>
      <c r="Q45" s="257" t="str">
        <f t="shared" si="0"/>
        <v/>
      </c>
      <c r="R45" s="257" t="str">
        <f t="shared" si="6"/>
        <v/>
      </c>
      <c r="S45" s="283" t="str">
        <f t="shared" si="1"/>
        <v/>
      </c>
      <c r="T45" s="258" t="str">
        <f t="shared" si="2"/>
        <v/>
      </c>
      <c r="U45" s="257" t="str">
        <f t="shared" si="3"/>
        <v/>
      </c>
      <c r="V45" s="257" t="str">
        <f t="shared" si="4"/>
        <v/>
      </c>
      <c r="W45" s="283" t="str">
        <f t="shared" si="7"/>
        <v/>
      </c>
      <c r="X45" s="253"/>
      <c r="Y45" s="253"/>
      <c r="Z45" s="253"/>
      <c r="AA45" s="253"/>
      <c r="AB45" s="253"/>
      <c r="AC45" s="253"/>
      <c r="AD45" s="253"/>
      <c r="AE45" s="253"/>
      <c r="AF45" s="253"/>
      <c r="AG45" s="253"/>
      <c r="AH45" s="253"/>
      <c r="AI45" s="253"/>
      <c r="AJ45" s="253"/>
      <c r="AK45" s="253"/>
      <c r="AL45" s="253"/>
      <c r="AM45" s="253"/>
      <c r="AN45" s="253"/>
      <c r="AO45" s="253"/>
      <c r="AP45" s="253"/>
      <c r="AQ45" s="253"/>
      <c r="AR45" s="253"/>
      <c r="AS45" s="253"/>
      <c r="AT45" s="253"/>
      <c r="AU45" s="253"/>
      <c r="AV45" s="59"/>
    </row>
    <row r="46" spans="2:61" ht="19.5" customHeight="1" x14ac:dyDescent="0.25">
      <c r="B46" s="61"/>
      <c r="C46" s="61"/>
      <c r="D46" s="61"/>
      <c r="E46" s="61"/>
      <c r="F46" s="61"/>
      <c r="I46" s="260">
        <v>31</v>
      </c>
      <c r="J46" s="255" t="str">
        <f>IF(I46&lt;=MAX(Forest_data[Age]),I46,"")</f>
        <v/>
      </c>
      <c r="K46" s="256" t="str">
        <f>IF(ISNUMBER(J46),LOOKUP(J46, Forest_data[[#All],[Age]],Forest_data[[#All],[Number of trees per ha]]),"")</f>
        <v/>
      </c>
      <c r="L46" s="257" t="str">
        <f>IF(ISNUMBER(J46),IF(ISNA(VLOOKUP(J46,Forest_data[#All],3,FALSE)),#N/A, VLOOKUP(J46,Forest_data[#All],3,FALSE)),"")</f>
        <v/>
      </c>
      <c r="M46" s="257" t="str">
        <f>IF(ISNUMBER(J46),IF(ISNA(VLOOKUP(J46,Forest_data[#All],4,FALSE)),#N/A, VLOOKUP(J46,Forest_data[#All],4,FALSE)),"")</f>
        <v/>
      </c>
      <c r="N46" s="257" t="str">
        <f>IF(ISNUMBER(J46),IF(ISNA(VLOOKUP(J46,Forest_data[#All],5,FALSE)),#N/A, VLOOKUP(J46,Forest_data[#All],5,FALSE)),"")</f>
        <v/>
      </c>
      <c r="O46" s="257" t="str">
        <f>IF(ISNUMBER(J46),IF(ISNA(VLOOKUP(J46,Forest_data[#All],6,FALSE)),#N/A, VLOOKUP(J46,Forest_data[#All],6,FALSE)),"")</f>
        <v/>
      </c>
      <c r="P46" s="257" t="str">
        <f t="shared" si="5"/>
        <v/>
      </c>
      <c r="Q46" s="257" t="str">
        <f t="shared" si="0"/>
        <v/>
      </c>
      <c r="R46" s="257" t="str">
        <f t="shared" si="6"/>
        <v/>
      </c>
      <c r="S46" s="283" t="str">
        <f t="shared" si="1"/>
        <v/>
      </c>
      <c r="T46" s="258" t="str">
        <f t="shared" si="2"/>
        <v/>
      </c>
      <c r="U46" s="257" t="str">
        <f t="shared" si="3"/>
        <v/>
      </c>
      <c r="V46" s="257" t="str">
        <f t="shared" si="4"/>
        <v/>
      </c>
      <c r="W46" s="283" t="str">
        <f t="shared" si="7"/>
        <v/>
      </c>
      <c r="X46" s="253"/>
      <c r="Y46" s="253"/>
      <c r="Z46" s="253"/>
      <c r="AA46" s="253"/>
      <c r="AB46" s="253"/>
      <c r="AC46" s="253"/>
      <c r="AD46" s="253"/>
      <c r="AE46" s="253"/>
      <c r="AF46" s="253"/>
      <c r="AG46" s="253"/>
      <c r="AH46" s="253"/>
      <c r="AI46" s="253"/>
      <c r="AJ46" s="253"/>
      <c r="AK46" s="253"/>
      <c r="AL46" s="253"/>
      <c r="AM46" s="253"/>
      <c r="AN46" s="253"/>
      <c r="AO46" s="253"/>
      <c r="AP46" s="253"/>
      <c r="AQ46" s="253"/>
      <c r="AR46" s="253"/>
      <c r="AS46" s="253"/>
      <c r="AT46" s="253"/>
      <c r="AU46" s="253"/>
      <c r="AV46" s="59"/>
    </row>
    <row r="47" spans="2:61" ht="19.5" customHeight="1" x14ac:dyDescent="0.25">
      <c r="B47" s="61"/>
      <c r="C47" s="61"/>
      <c r="D47" s="61"/>
      <c r="E47" s="61"/>
      <c r="F47" s="61"/>
      <c r="I47" s="83">
        <v>32</v>
      </c>
      <c r="J47" s="255" t="str">
        <f>IF(I47&lt;=MAX(Forest_data[Age]),I47,"")</f>
        <v/>
      </c>
      <c r="K47" s="256" t="str">
        <f>IF(ISNUMBER(J47),LOOKUP(J47, Forest_data[[#All],[Age]],Forest_data[[#All],[Number of trees per ha]]),"")</f>
        <v/>
      </c>
      <c r="L47" s="257" t="str">
        <f>IF(ISNUMBER(J47),IF(ISNA(VLOOKUP(J47,Forest_data[#All],3,FALSE)),#N/A, VLOOKUP(J47,Forest_data[#All],3,FALSE)),"")</f>
        <v/>
      </c>
      <c r="M47" s="257" t="str">
        <f>IF(ISNUMBER(J47),IF(ISNA(VLOOKUP(J47,Forest_data[#All],4,FALSE)),#N/A, VLOOKUP(J47,Forest_data[#All],4,FALSE)),"")</f>
        <v/>
      </c>
      <c r="N47" s="257" t="str">
        <f>IF(ISNUMBER(J47),IF(ISNA(VLOOKUP(J47,Forest_data[#All],5,FALSE)),#N/A, VLOOKUP(J47,Forest_data[#All],5,FALSE)),"")</f>
        <v/>
      </c>
      <c r="O47" s="257" t="str">
        <f>IF(ISNUMBER(J47),IF(ISNA(VLOOKUP(J47,Forest_data[#All],6,FALSE)),#N/A, VLOOKUP(J47,Forest_data[#All],6,FALSE)),"")</f>
        <v/>
      </c>
      <c r="P47" s="257" t="str">
        <f t="shared" si="5"/>
        <v/>
      </c>
      <c r="Q47" s="257" t="str">
        <f t="shared" si="0"/>
        <v/>
      </c>
      <c r="R47" s="257" t="str">
        <f t="shared" si="6"/>
        <v/>
      </c>
      <c r="S47" s="283" t="str">
        <f t="shared" si="1"/>
        <v/>
      </c>
      <c r="T47" s="258" t="str">
        <f t="shared" si="2"/>
        <v/>
      </c>
      <c r="U47" s="257" t="str">
        <f t="shared" si="3"/>
        <v/>
      </c>
      <c r="V47" s="257" t="str">
        <f t="shared" si="4"/>
        <v/>
      </c>
      <c r="W47" s="283" t="str">
        <f t="shared" si="7"/>
        <v/>
      </c>
      <c r="X47" s="253"/>
      <c r="Y47" s="253"/>
      <c r="Z47" s="253"/>
      <c r="AA47" s="253"/>
      <c r="AB47" s="253"/>
      <c r="AC47" s="253"/>
      <c r="AD47" s="253"/>
      <c r="AE47" s="253"/>
      <c r="AF47" s="253"/>
      <c r="AG47" s="253"/>
      <c r="AH47" s="253"/>
      <c r="AI47" s="253"/>
      <c r="AJ47" s="253"/>
      <c r="AK47" s="253"/>
      <c r="AL47" s="253"/>
      <c r="AM47" s="253"/>
      <c r="AN47" s="253"/>
      <c r="AO47" s="253"/>
      <c r="AP47" s="253"/>
      <c r="AQ47" s="253"/>
      <c r="AR47" s="253"/>
      <c r="AS47" s="253"/>
      <c r="AT47" s="253"/>
      <c r="AU47" s="253"/>
      <c r="AV47" s="59"/>
    </row>
    <row r="48" spans="2:61" ht="19.5" customHeight="1" x14ac:dyDescent="0.25">
      <c r="B48" s="61"/>
      <c r="C48" s="61"/>
      <c r="D48" s="61"/>
      <c r="E48" s="61"/>
      <c r="F48" s="61"/>
      <c r="I48" s="83">
        <v>33</v>
      </c>
      <c r="J48" s="255" t="str">
        <f>IF(I48&lt;=MAX(Forest_data[Age]),I48,"")</f>
        <v/>
      </c>
      <c r="K48" s="256" t="str">
        <f>IF(ISNUMBER(J48),LOOKUP(J48, Forest_data[[#All],[Age]],Forest_data[[#All],[Number of trees per ha]]),"")</f>
        <v/>
      </c>
      <c r="L48" s="257" t="str">
        <f>IF(ISNUMBER(J48),IF(ISNA(VLOOKUP(J48,Forest_data[#All],3,FALSE)),#N/A, VLOOKUP(J48,Forest_data[#All],3,FALSE)),"")</f>
        <v/>
      </c>
      <c r="M48" s="257" t="str">
        <f>IF(ISNUMBER(J48),IF(ISNA(VLOOKUP(J48,Forest_data[#All],4,FALSE)),#N/A, VLOOKUP(J48,Forest_data[#All],4,FALSE)),"")</f>
        <v/>
      </c>
      <c r="N48" s="257" t="str">
        <f>IF(ISNUMBER(J48),IF(ISNA(VLOOKUP(J48,Forest_data[#All],5,FALSE)),#N/A, VLOOKUP(J48,Forest_data[#All],5,FALSE)),"")</f>
        <v/>
      </c>
      <c r="O48" s="257" t="str">
        <f>IF(ISNUMBER(J48),IF(ISNA(VLOOKUP(J48,Forest_data[#All],6,FALSE)),#N/A, VLOOKUP(J48,Forest_data[#All],6,FALSE)),"")</f>
        <v/>
      </c>
      <c r="P48" s="257" t="str">
        <f t="shared" si="5"/>
        <v/>
      </c>
      <c r="Q48" s="257" t="str">
        <f t="shared" si="0"/>
        <v/>
      </c>
      <c r="R48" s="257" t="str">
        <f t="shared" si="6"/>
        <v/>
      </c>
      <c r="S48" s="283" t="str">
        <f t="shared" si="1"/>
        <v/>
      </c>
      <c r="T48" s="258" t="str">
        <f t="shared" si="2"/>
        <v/>
      </c>
      <c r="U48" s="257" t="str">
        <f t="shared" si="3"/>
        <v/>
      </c>
      <c r="V48" s="257" t="str">
        <f t="shared" si="4"/>
        <v/>
      </c>
      <c r="W48" s="283" t="str">
        <f t="shared" si="7"/>
        <v/>
      </c>
      <c r="X48" s="253"/>
      <c r="Y48" s="253"/>
      <c r="Z48" s="253"/>
      <c r="AA48" s="253"/>
      <c r="AB48" s="253"/>
      <c r="AC48" s="253"/>
      <c r="AD48" s="253"/>
      <c r="AE48" s="253"/>
      <c r="AF48" s="253"/>
      <c r="AG48" s="253"/>
      <c r="AH48" s="253"/>
      <c r="AI48" s="253"/>
      <c r="AJ48" s="253"/>
      <c r="AK48" s="253"/>
      <c r="AL48" s="253"/>
      <c r="AM48" s="253"/>
      <c r="AN48" s="253"/>
      <c r="AO48" s="253"/>
      <c r="AP48" s="253"/>
      <c r="AQ48" s="253"/>
      <c r="AR48" s="253"/>
      <c r="AS48" s="253"/>
      <c r="AT48" s="253"/>
      <c r="AU48" s="253"/>
      <c r="AV48" s="59"/>
    </row>
    <row r="49" spans="2:48" ht="19.5" customHeight="1" x14ac:dyDescent="0.25">
      <c r="B49" s="61"/>
      <c r="C49" s="61"/>
      <c r="D49" s="61"/>
      <c r="E49" s="61"/>
      <c r="F49" s="61"/>
      <c r="I49" s="83">
        <v>34</v>
      </c>
      <c r="J49" s="255" t="str">
        <f>IF(I49&lt;=MAX(Forest_data[Age]),I49,"")</f>
        <v/>
      </c>
      <c r="K49" s="256" t="str">
        <f>IF(ISNUMBER(J49),LOOKUP(J49, Forest_data[[#All],[Age]],Forest_data[[#All],[Number of trees per ha]]),"")</f>
        <v/>
      </c>
      <c r="L49" s="257" t="str">
        <f>IF(ISNUMBER(J49),IF(ISNA(VLOOKUP(J49,Forest_data[#All],3,FALSE)),#N/A, VLOOKUP(J49,Forest_data[#All],3,FALSE)),"")</f>
        <v/>
      </c>
      <c r="M49" s="257" t="str">
        <f>IF(ISNUMBER(J49),IF(ISNA(VLOOKUP(J49,Forest_data[#All],4,FALSE)),#N/A, VLOOKUP(J49,Forest_data[#All],4,FALSE)),"")</f>
        <v/>
      </c>
      <c r="N49" s="257" t="str">
        <f>IF(ISNUMBER(J49),IF(ISNA(VLOOKUP(J49,Forest_data[#All],5,FALSE)),#N/A, VLOOKUP(J49,Forest_data[#All],5,FALSE)),"")</f>
        <v/>
      </c>
      <c r="O49" s="257" t="str">
        <f>IF(ISNUMBER(J49),IF(ISNA(VLOOKUP(J49,Forest_data[#All],6,FALSE)),#N/A, VLOOKUP(J49,Forest_data[#All],6,FALSE)),"")</f>
        <v/>
      </c>
      <c r="P49" s="257" t="str">
        <f t="shared" si="5"/>
        <v/>
      </c>
      <c r="Q49" s="257" t="str">
        <f t="shared" si="0"/>
        <v/>
      </c>
      <c r="R49" s="257" t="str">
        <f t="shared" si="6"/>
        <v/>
      </c>
      <c r="S49" s="283" t="str">
        <f t="shared" si="1"/>
        <v/>
      </c>
      <c r="T49" s="258" t="str">
        <f t="shared" si="2"/>
        <v/>
      </c>
      <c r="U49" s="257" t="str">
        <f t="shared" si="3"/>
        <v/>
      </c>
      <c r="V49" s="257" t="str">
        <f t="shared" si="4"/>
        <v/>
      </c>
      <c r="W49" s="283" t="str">
        <f t="shared" si="7"/>
        <v/>
      </c>
      <c r="X49" s="253"/>
      <c r="Y49" s="253"/>
      <c r="Z49" s="253"/>
      <c r="AA49" s="253"/>
      <c r="AB49" s="253"/>
      <c r="AC49" s="253"/>
      <c r="AD49" s="253"/>
      <c r="AE49" s="253"/>
      <c r="AF49" s="253"/>
      <c r="AG49" s="253"/>
      <c r="AH49" s="253"/>
      <c r="AI49" s="253"/>
      <c r="AJ49" s="253"/>
      <c r="AK49" s="253"/>
      <c r="AL49" s="253"/>
      <c r="AM49" s="253"/>
      <c r="AN49" s="253"/>
      <c r="AO49" s="253"/>
      <c r="AP49" s="253"/>
      <c r="AQ49" s="253"/>
      <c r="AR49" s="253"/>
      <c r="AS49" s="253"/>
      <c r="AT49" s="253"/>
      <c r="AU49" s="253"/>
      <c r="AV49" s="59"/>
    </row>
    <row r="50" spans="2:48" ht="19.5" customHeight="1" x14ac:dyDescent="0.25">
      <c r="B50" s="61"/>
      <c r="C50" s="61"/>
      <c r="D50" s="61"/>
      <c r="E50" s="61"/>
      <c r="F50" s="61"/>
      <c r="I50" s="260">
        <v>35</v>
      </c>
      <c r="J50" s="255" t="str">
        <f>IF(I50&lt;=MAX(Forest_data[Age]),I50,"")</f>
        <v/>
      </c>
      <c r="K50" s="256" t="str">
        <f>IF(ISNUMBER(J50),LOOKUP(J50, Forest_data[[#All],[Age]],Forest_data[[#All],[Number of trees per ha]]),"")</f>
        <v/>
      </c>
      <c r="L50" s="257" t="str">
        <f>IF(ISNUMBER(J50),IF(ISNA(VLOOKUP(J50,Forest_data[#All],3,FALSE)),#N/A, VLOOKUP(J50,Forest_data[#All],3,FALSE)),"")</f>
        <v/>
      </c>
      <c r="M50" s="257" t="str">
        <f>IF(ISNUMBER(J50),IF(ISNA(VLOOKUP(J50,Forest_data[#All],4,FALSE)),#N/A, VLOOKUP(J50,Forest_data[#All],4,FALSE)),"")</f>
        <v/>
      </c>
      <c r="N50" s="257" t="str">
        <f>IF(ISNUMBER(J50),IF(ISNA(VLOOKUP(J50,Forest_data[#All],5,FALSE)),#N/A, VLOOKUP(J50,Forest_data[#All],5,FALSE)),"")</f>
        <v/>
      </c>
      <c r="O50" s="257" t="str">
        <f>IF(ISNUMBER(J50),IF(ISNA(VLOOKUP(J50,Forest_data[#All],6,FALSE)),#N/A, VLOOKUP(J50,Forest_data[#All],6,FALSE)),"")</f>
        <v/>
      </c>
      <c r="P50" s="257" t="str">
        <f t="shared" si="5"/>
        <v/>
      </c>
      <c r="Q50" s="257" t="str">
        <f t="shared" si="0"/>
        <v/>
      </c>
      <c r="R50" s="257" t="str">
        <f t="shared" si="6"/>
        <v/>
      </c>
      <c r="S50" s="283" t="str">
        <f t="shared" si="1"/>
        <v/>
      </c>
      <c r="T50" s="258" t="str">
        <f t="shared" si="2"/>
        <v/>
      </c>
      <c r="U50" s="257" t="str">
        <f t="shared" si="3"/>
        <v/>
      </c>
      <c r="V50" s="257" t="str">
        <f t="shared" si="4"/>
        <v/>
      </c>
      <c r="W50" s="283" t="str">
        <f t="shared" si="7"/>
        <v/>
      </c>
      <c r="X50" s="253"/>
      <c r="Y50" s="253"/>
      <c r="Z50" s="253"/>
      <c r="AA50" s="253"/>
      <c r="AB50" s="253"/>
      <c r="AC50" s="253"/>
      <c r="AD50" s="253"/>
      <c r="AE50" s="253"/>
      <c r="AF50" s="253"/>
      <c r="AG50" s="253"/>
      <c r="AH50" s="253"/>
      <c r="AI50" s="253"/>
      <c r="AJ50" s="253"/>
      <c r="AK50" s="253"/>
      <c r="AL50" s="253"/>
      <c r="AM50" s="253"/>
      <c r="AN50" s="253"/>
      <c r="AO50" s="253"/>
      <c r="AP50" s="253"/>
      <c r="AQ50" s="253"/>
      <c r="AR50" s="253"/>
      <c r="AS50" s="253"/>
      <c r="AT50" s="253"/>
      <c r="AU50" s="253"/>
      <c r="AV50" s="59"/>
    </row>
    <row r="51" spans="2:48" ht="19.5" customHeight="1" x14ac:dyDescent="0.25">
      <c r="B51" s="61"/>
      <c r="C51" s="61"/>
      <c r="D51" s="61"/>
      <c r="E51" s="61"/>
      <c r="F51" s="61"/>
      <c r="I51" s="83">
        <v>36</v>
      </c>
      <c r="J51" s="255" t="str">
        <f>IF(I51&lt;=MAX(Forest_data[Age]),I51,"")</f>
        <v/>
      </c>
      <c r="K51" s="256" t="str">
        <f>IF(ISNUMBER(J51),LOOKUP(J51, Forest_data[[#All],[Age]],Forest_data[[#All],[Number of trees per ha]]),"")</f>
        <v/>
      </c>
      <c r="L51" s="257" t="str">
        <f>IF(ISNUMBER(J51),IF(ISNA(VLOOKUP(J51,Forest_data[#All],3,FALSE)),#N/A, VLOOKUP(J51,Forest_data[#All],3,FALSE)),"")</f>
        <v/>
      </c>
      <c r="M51" s="257" t="str">
        <f>IF(ISNUMBER(J51),IF(ISNA(VLOOKUP(J51,Forest_data[#All],4,FALSE)),#N/A, VLOOKUP(J51,Forest_data[#All],4,FALSE)),"")</f>
        <v/>
      </c>
      <c r="N51" s="257" t="str">
        <f>IF(ISNUMBER(J51),IF(ISNA(VLOOKUP(J51,Forest_data[#All],5,FALSE)),#N/A, VLOOKUP(J51,Forest_data[#All],5,FALSE)),"")</f>
        <v/>
      </c>
      <c r="O51" s="257" t="str">
        <f>IF(ISNUMBER(J51),IF(ISNA(VLOOKUP(J51,Forest_data[#All],6,FALSE)),#N/A, VLOOKUP(J51,Forest_data[#All],6,FALSE)),"")</f>
        <v/>
      </c>
      <c r="P51" s="257" t="str">
        <f t="shared" si="5"/>
        <v/>
      </c>
      <c r="Q51" s="257" t="str">
        <f t="shared" si="0"/>
        <v/>
      </c>
      <c r="R51" s="257" t="str">
        <f t="shared" si="6"/>
        <v/>
      </c>
      <c r="S51" s="283" t="str">
        <f t="shared" si="1"/>
        <v/>
      </c>
      <c r="T51" s="258" t="str">
        <f t="shared" si="2"/>
        <v/>
      </c>
      <c r="U51" s="257" t="str">
        <f t="shared" si="3"/>
        <v/>
      </c>
      <c r="V51" s="257" t="str">
        <f t="shared" si="4"/>
        <v/>
      </c>
      <c r="W51" s="283" t="str">
        <f t="shared" si="7"/>
        <v/>
      </c>
      <c r="X51" s="253"/>
      <c r="Y51" s="253"/>
      <c r="Z51" s="253"/>
      <c r="AA51" s="253"/>
      <c r="AB51" s="253"/>
      <c r="AC51" s="253"/>
      <c r="AD51" s="253"/>
      <c r="AE51" s="253"/>
      <c r="AF51" s="253"/>
      <c r="AG51" s="253"/>
      <c r="AH51" s="253"/>
      <c r="AI51" s="253"/>
      <c r="AJ51" s="253"/>
      <c r="AK51" s="253"/>
      <c r="AL51" s="253"/>
      <c r="AM51" s="253"/>
      <c r="AN51" s="253"/>
      <c r="AO51" s="253"/>
      <c r="AP51" s="253"/>
      <c r="AQ51" s="253"/>
      <c r="AR51" s="253"/>
      <c r="AS51" s="253"/>
      <c r="AT51" s="253"/>
      <c r="AU51" s="253"/>
      <c r="AV51" s="59"/>
    </row>
    <row r="52" spans="2:48" ht="19.5" customHeight="1" x14ac:dyDescent="0.25">
      <c r="B52" s="61"/>
      <c r="C52" s="61"/>
      <c r="D52" s="61"/>
      <c r="E52" s="61"/>
      <c r="F52" s="61"/>
      <c r="I52" s="83">
        <v>37</v>
      </c>
      <c r="J52" s="255" t="str">
        <f>IF(I52&lt;=MAX(Forest_data[Age]),I52,"")</f>
        <v/>
      </c>
      <c r="K52" s="256" t="str">
        <f>IF(ISNUMBER(J52),LOOKUP(J52, Forest_data[[#All],[Age]],Forest_data[[#All],[Number of trees per ha]]),"")</f>
        <v/>
      </c>
      <c r="L52" s="257" t="str">
        <f>IF(ISNUMBER(J52),IF(ISNA(VLOOKUP(J52,Forest_data[#All],3,FALSE)),#N/A, VLOOKUP(J52,Forest_data[#All],3,FALSE)),"")</f>
        <v/>
      </c>
      <c r="M52" s="257" t="str">
        <f>IF(ISNUMBER(J52),IF(ISNA(VLOOKUP(J52,Forest_data[#All],4,FALSE)),#N/A, VLOOKUP(J52,Forest_data[#All],4,FALSE)),"")</f>
        <v/>
      </c>
      <c r="N52" s="257" t="str">
        <f>IF(ISNUMBER(J52),IF(ISNA(VLOOKUP(J52,Forest_data[#All],5,FALSE)),#N/A, VLOOKUP(J52,Forest_data[#All],5,FALSE)),"")</f>
        <v/>
      </c>
      <c r="O52" s="257" t="str">
        <f>IF(ISNUMBER(J52),IF(ISNA(VLOOKUP(J52,Forest_data[#All],6,FALSE)),#N/A, VLOOKUP(J52,Forest_data[#All],6,FALSE)),"")</f>
        <v/>
      </c>
      <c r="P52" s="257" t="str">
        <f t="shared" si="5"/>
        <v/>
      </c>
      <c r="Q52" s="257" t="str">
        <f t="shared" si="0"/>
        <v/>
      </c>
      <c r="R52" s="257" t="str">
        <f t="shared" si="6"/>
        <v/>
      </c>
      <c r="S52" s="283" t="str">
        <f t="shared" si="1"/>
        <v/>
      </c>
      <c r="T52" s="258" t="str">
        <f t="shared" si="2"/>
        <v/>
      </c>
      <c r="U52" s="257" t="str">
        <f t="shared" si="3"/>
        <v/>
      </c>
      <c r="V52" s="257" t="str">
        <f t="shared" si="4"/>
        <v/>
      </c>
      <c r="W52" s="283" t="str">
        <f t="shared" si="7"/>
        <v/>
      </c>
      <c r="X52" s="253"/>
      <c r="Y52" s="253"/>
      <c r="Z52" s="253"/>
      <c r="AA52" s="253"/>
      <c r="AB52" s="253"/>
      <c r="AC52" s="253"/>
      <c r="AD52" s="253"/>
      <c r="AE52" s="253"/>
      <c r="AF52" s="253"/>
      <c r="AG52" s="253"/>
      <c r="AH52" s="253"/>
      <c r="AI52" s="253"/>
      <c r="AJ52" s="253"/>
      <c r="AK52" s="253"/>
      <c r="AL52" s="253"/>
      <c r="AM52" s="253"/>
      <c r="AN52" s="253"/>
      <c r="AO52" s="253"/>
      <c r="AP52" s="253"/>
      <c r="AQ52" s="253"/>
      <c r="AR52" s="253"/>
      <c r="AS52" s="253"/>
      <c r="AT52" s="253"/>
      <c r="AU52" s="253"/>
      <c r="AV52" s="59"/>
    </row>
    <row r="53" spans="2:48" ht="19.5" customHeight="1" x14ac:dyDescent="0.25">
      <c r="B53" s="61"/>
      <c r="C53" s="61"/>
      <c r="D53" s="61"/>
      <c r="E53" s="61"/>
      <c r="F53" s="61"/>
      <c r="I53" s="83">
        <v>38</v>
      </c>
      <c r="J53" s="255" t="str">
        <f>IF(I53&lt;=MAX(Forest_data[Age]),I53,"")</f>
        <v/>
      </c>
      <c r="K53" s="256" t="str">
        <f>IF(ISNUMBER(J53),LOOKUP(J53, Forest_data[[#All],[Age]],Forest_data[[#All],[Number of trees per ha]]),"")</f>
        <v/>
      </c>
      <c r="L53" s="257" t="str">
        <f>IF(ISNUMBER(J53),IF(ISNA(VLOOKUP(J53,Forest_data[#All],3,FALSE)),#N/A, VLOOKUP(J53,Forest_data[#All],3,FALSE)),"")</f>
        <v/>
      </c>
      <c r="M53" s="257" t="str">
        <f>IF(ISNUMBER(J53),IF(ISNA(VLOOKUP(J53,Forest_data[#All],4,FALSE)),#N/A, VLOOKUP(J53,Forest_data[#All],4,FALSE)),"")</f>
        <v/>
      </c>
      <c r="N53" s="257" t="str">
        <f>IF(ISNUMBER(J53),IF(ISNA(VLOOKUP(J53,Forest_data[#All],5,FALSE)),#N/A, VLOOKUP(J53,Forest_data[#All],5,FALSE)),"")</f>
        <v/>
      </c>
      <c r="O53" s="257" t="str">
        <f>IF(ISNUMBER(J53),IF(ISNA(VLOOKUP(J53,Forest_data[#All],6,FALSE)),#N/A, VLOOKUP(J53,Forest_data[#All],6,FALSE)),"")</f>
        <v/>
      </c>
      <c r="P53" s="257" t="str">
        <f t="shared" si="5"/>
        <v/>
      </c>
      <c r="Q53" s="257" t="str">
        <f t="shared" si="0"/>
        <v/>
      </c>
      <c r="R53" s="257" t="str">
        <f t="shared" si="6"/>
        <v/>
      </c>
      <c r="S53" s="283" t="str">
        <f t="shared" si="1"/>
        <v/>
      </c>
      <c r="T53" s="258" t="str">
        <f t="shared" si="2"/>
        <v/>
      </c>
      <c r="U53" s="257" t="str">
        <f t="shared" si="3"/>
        <v/>
      </c>
      <c r="V53" s="257" t="str">
        <f t="shared" si="4"/>
        <v/>
      </c>
      <c r="W53" s="283" t="str">
        <f t="shared" si="7"/>
        <v/>
      </c>
      <c r="X53" s="253"/>
      <c r="Y53" s="253"/>
      <c r="Z53" s="253"/>
      <c r="AA53" s="253"/>
      <c r="AB53" s="253"/>
      <c r="AC53" s="253"/>
      <c r="AD53" s="253"/>
      <c r="AE53" s="253"/>
      <c r="AF53" s="253"/>
      <c r="AG53" s="253"/>
      <c r="AH53" s="253"/>
      <c r="AI53" s="253"/>
      <c r="AJ53" s="253"/>
      <c r="AK53" s="253"/>
      <c r="AL53" s="253"/>
      <c r="AM53" s="253"/>
      <c r="AN53" s="253"/>
      <c r="AO53" s="253"/>
      <c r="AP53" s="253"/>
      <c r="AQ53" s="253"/>
      <c r="AR53" s="253"/>
      <c r="AS53" s="253"/>
      <c r="AT53" s="253"/>
      <c r="AU53" s="253"/>
      <c r="AV53" s="59"/>
    </row>
    <row r="54" spans="2:48" ht="19.5" customHeight="1" x14ac:dyDescent="0.25">
      <c r="B54" s="61"/>
      <c r="C54" s="61"/>
      <c r="D54" s="61"/>
      <c r="E54" s="61"/>
      <c r="F54" s="61"/>
      <c r="I54" s="260">
        <v>39</v>
      </c>
      <c r="J54" s="255" t="str">
        <f>IF(I54&lt;=MAX(Forest_data[Age]),I54,"")</f>
        <v/>
      </c>
      <c r="K54" s="256" t="str">
        <f>IF(ISNUMBER(J54),LOOKUP(J54, Forest_data[[#All],[Age]],Forest_data[[#All],[Number of trees per ha]]),"")</f>
        <v/>
      </c>
      <c r="L54" s="257" t="str">
        <f>IF(ISNUMBER(J54),IF(ISNA(VLOOKUP(J54,Forest_data[#All],3,FALSE)),#N/A, VLOOKUP(J54,Forest_data[#All],3,FALSE)),"")</f>
        <v/>
      </c>
      <c r="M54" s="257" t="str">
        <f>IF(ISNUMBER(J54),IF(ISNA(VLOOKUP(J54,Forest_data[#All],4,FALSE)),#N/A, VLOOKUP(J54,Forest_data[#All],4,FALSE)),"")</f>
        <v/>
      </c>
      <c r="N54" s="257" t="str">
        <f>IF(ISNUMBER(J54),IF(ISNA(VLOOKUP(J54,Forest_data[#All],5,FALSE)),#N/A, VLOOKUP(J54,Forest_data[#All],5,FALSE)),"")</f>
        <v/>
      </c>
      <c r="O54" s="257" t="str">
        <f>IF(ISNUMBER(J54),IF(ISNA(VLOOKUP(J54,Forest_data[#All],6,FALSE)),#N/A, VLOOKUP(J54,Forest_data[#All],6,FALSE)),"")</f>
        <v/>
      </c>
      <c r="P54" s="257" t="str">
        <f t="shared" si="5"/>
        <v/>
      </c>
      <c r="Q54" s="257" t="str">
        <f t="shared" si="0"/>
        <v/>
      </c>
      <c r="R54" s="257" t="str">
        <f t="shared" si="6"/>
        <v/>
      </c>
      <c r="S54" s="283" t="str">
        <f t="shared" si="1"/>
        <v/>
      </c>
      <c r="T54" s="258" t="str">
        <f t="shared" si="2"/>
        <v/>
      </c>
      <c r="U54" s="257" t="str">
        <f t="shared" si="3"/>
        <v/>
      </c>
      <c r="V54" s="257" t="str">
        <f t="shared" si="4"/>
        <v/>
      </c>
      <c r="W54" s="283" t="str">
        <f t="shared" si="7"/>
        <v/>
      </c>
      <c r="X54" s="253"/>
      <c r="Y54" s="253"/>
      <c r="Z54" s="253"/>
      <c r="AA54" s="253"/>
      <c r="AB54" s="253"/>
      <c r="AC54" s="253"/>
      <c r="AD54" s="253"/>
      <c r="AE54" s="253"/>
      <c r="AF54" s="253"/>
      <c r="AG54" s="253"/>
      <c r="AH54" s="253"/>
      <c r="AI54" s="253"/>
      <c r="AJ54" s="253"/>
      <c r="AK54" s="253"/>
      <c r="AL54" s="253"/>
      <c r="AM54" s="253"/>
      <c r="AN54" s="253"/>
      <c r="AO54" s="253"/>
      <c r="AP54" s="253"/>
      <c r="AQ54" s="253"/>
      <c r="AR54" s="253"/>
      <c r="AS54" s="253"/>
      <c r="AT54" s="253"/>
      <c r="AU54" s="253"/>
      <c r="AV54" s="59"/>
    </row>
    <row r="55" spans="2:48" ht="19.5" customHeight="1" x14ac:dyDescent="0.25">
      <c r="B55" s="61"/>
      <c r="C55" s="61"/>
      <c r="D55" s="61"/>
      <c r="E55" s="61"/>
      <c r="F55" s="61"/>
      <c r="I55" s="83">
        <v>40</v>
      </c>
      <c r="J55" s="255" t="str">
        <f>IF(I55&lt;=MAX(Forest_data[Age]),I55,"")</f>
        <v/>
      </c>
      <c r="K55" s="256" t="str">
        <f>IF(ISNUMBER(J55),LOOKUP(J55, Forest_data[[#All],[Age]],Forest_data[[#All],[Number of trees per ha]]),"")</f>
        <v/>
      </c>
      <c r="L55" s="257" t="str">
        <f>IF(ISNUMBER(J55),IF(ISNA(VLOOKUP(J55,Forest_data[#All],3,FALSE)),#N/A, VLOOKUP(J55,Forest_data[#All],3,FALSE)),"")</f>
        <v/>
      </c>
      <c r="M55" s="257" t="str">
        <f>IF(ISNUMBER(J55),IF(ISNA(VLOOKUP(J55,Forest_data[#All],4,FALSE)),#N/A, VLOOKUP(J55,Forest_data[#All],4,FALSE)),"")</f>
        <v/>
      </c>
      <c r="N55" s="257" t="str">
        <f>IF(ISNUMBER(J55),IF(ISNA(VLOOKUP(J55,Forest_data[#All],5,FALSE)),#N/A, VLOOKUP(J55,Forest_data[#All],5,FALSE)),"")</f>
        <v/>
      </c>
      <c r="O55" s="257" t="str">
        <f>IF(ISNUMBER(J55),IF(ISNA(VLOOKUP(J55,Forest_data[#All],6,FALSE)),#N/A, VLOOKUP(J55,Forest_data[#All],6,FALSE)),"")</f>
        <v/>
      </c>
      <c r="P55" s="257" t="str">
        <f t="shared" si="5"/>
        <v/>
      </c>
      <c r="Q55" s="257" t="str">
        <f t="shared" si="0"/>
        <v/>
      </c>
      <c r="R55" s="257" t="str">
        <f t="shared" si="6"/>
        <v/>
      </c>
      <c r="S55" s="283" t="str">
        <f t="shared" si="1"/>
        <v/>
      </c>
      <c r="T55" s="258" t="str">
        <f t="shared" si="2"/>
        <v/>
      </c>
      <c r="U55" s="257" t="str">
        <f t="shared" si="3"/>
        <v/>
      </c>
      <c r="V55" s="257" t="str">
        <f t="shared" si="4"/>
        <v/>
      </c>
      <c r="W55" s="283" t="str">
        <f t="shared" si="7"/>
        <v/>
      </c>
      <c r="X55" s="253"/>
      <c r="Y55" s="253"/>
      <c r="Z55" s="253"/>
      <c r="AA55" s="253"/>
      <c r="AB55" s="253"/>
      <c r="AC55" s="253"/>
      <c r="AD55" s="253"/>
      <c r="AE55" s="253"/>
      <c r="AF55" s="253"/>
      <c r="AG55" s="253"/>
      <c r="AH55" s="253"/>
      <c r="AI55" s="253"/>
      <c r="AJ55" s="253"/>
      <c r="AK55" s="253"/>
      <c r="AL55" s="253"/>
      <c r="AM55" s="253"/>
      <c r="AN55" s="253"/>
      <c r="AO55" s="253"/>
      <c r="AP55" s="253"/>
      <c r="AQ55" s="253"/>
      <c r="AR55" s="253"/>
      <c r="AS55" s="253"/>
      <c r="AT55" s="253"/>
      <c r="AU55" s="253"/>
      <c r="AV55" s="59"/>
    </row>
    <row r="56" spans="2:48" ht="19.5" customHeight="1" x14ac:dyDescent="0.25">
      <c r="B56" s="61"/>
      <c r="C56" s="61"/>
      <c r="D56" s="61"/>
      <c r="E56" s="61"/>
      <c r="F56" s="61"/>
      <c r="I56" s="83">
        <v>41</v>
      </c>
      <c r="J56" s="255" t="str">
        <f>IF(I56&lt;=MAX(Forest_data[Age]),I56,"")</f>
        <v/>
      </c>
      <c r="K56" s="256" t="str">
        <f>IF(ISNUMBER(J56),LOOKUP(J56, Forest_data[[#All],[Age]],Forest_data[[#All],[Number of trees per ha]]),"")</f>
        <v/>
      </c>
      <c r="L56" s="257" t="str">
        <f>IF(ISNUMBER(J56),IF(ISNA(VLOOKUP(J56,Forest_data[#All],3,FALSE)),#N/A, VLOOKUP(J56,Forest_data[#All],3,FALSE)),"")</f>
        <v/>
      </c>
      <c r="M56" s="257" t="str">
        <f>IF(ISNUMBER(J56),IF(ISNA(VLOOKUP(J56,Forest_data[#All],4,FALSE)),#N/A, VLOOKUP(J56,Forest_data[#All],4,FALSE)),"")</f>
        <v/>
      </c>
      <c r="N56" s="257" t="str">
        <f>IF(ISNUMBER(J56),IF(ISNA(VLOOKUP(J56,Forest_data[#All],5,FALSE)),#N/A, VLOOKUP(J56,Forest_data[#All],5,FALSE)),"")</f>
        <v/>
      </c>
      <c r="O56" s="257" t="str">
        <f>IF(ISNUMBER(J56),IF(ISNA(VLOOKUP(J56,Forest_data[#All],6,FALSE)),#N/A, VLOOKUP(J56,Forest_data[#All],6,FALSE)),"")</f>
        <v/>
      </c>
      <c r="P56" s="257" t="str">
        <f t="shared" si="5"/>
        <v/>
      </c>
      <c r="Q56" s="257" t="str">
        <f t="shared" si="0"/>
        <v/>
      </c>
      <c r="R56" s="257" t="str">
        <f t="shared" si="6"/>
        <v/>
      </c>
      <c r="S56" s="283" t="str">
        <f t="shared" si="1"/>
        <v/>
      </c>
      <c r="T56" s="258" t="str">
        <f t="shared" si="2"/>
        <v/>
      </c>
      <c r="U56" s="257" t="str">
        <f t="shared" si="3"/>
        <v/>
      </c>
      <c r="V56" s="257" t="str">
        <f t="shared" si="4"/>
        <v/>
      </c>
      <c r="W56" s="283" t="str">
        <f t="shared" si="7"/>
        <v/>
      </c>
      <c r="X56" s="253"/>
      <c r="Y56" s="253"/>
      <c r="Z56" s="253"/>
      <c r="AA56" s="253"/>
      <c r="AB56" s="253"/>
      <c r="AC56" s="253"/>
      <c r="AD56" s="253"/>
      <c r="AE56" s="253"/>
      <c r="AF56" s="253"/>
      <c r="AG56" s="253"/>
      <c r="AH56" s="253"/>
      <c r="AI56" s="253"/>
      <c r="AJ56" s="253"/>
      <c r="AK56" s="253"/>
      <c r="AL56" s="253"/>
      <c r="AM56" s="253"/>
      <c r="AN56" s="253"/>
      <c r="AO56" s="253"/>
      <c r="AP56" s="253"/>
      <c r="AQ56" s="253"/>
      <c r="AR56" s="253"/>
      <c r="AS56" s="253"/>
      <c r="AT56" s="253"/>
      <c r="AU56" s="253"/>
      <c r="AV56" s="59"/>
    </row>
    <row r="57" spans="2:48" ht="19.5" customHeight="1" x14ac:dyDescent="0.25">
      <c r="B57" s="61"/>
      <c r="C57" s="61"/>
      <c r="D57" s="61"/>
      <c r="E57" s="61"/>
      <c r="F57" s="61"/>
      <c r="I57" s="83">
        <v>42</v>
      </c>
      <c r="J57" s="255" t="str">
        <f>IF(I57&lt;=MAX(Forest_data[Age]),I57,"")</f>
        <v/>
      </c>
      <c r="K57" s="256" t="str">
        <f>IF(ISNUMBER(J57),LOOKUP(J57, Forest_data[[#All],[Age]],Forest_data[[#All],[Number of trees per ha]]),"")</f>
        <v/>
      </c>
      <c r="L57" s="257" t="str">
        <f>IF(ISNUMBER(J57),IF(ISNA(VLOOKUP(J57,Forest_data[#All],3,FALSE)),#N/A, VLOOKUP(J57,Forest_data[#All],3,FALSE)),"")</f>
        <v/>
      </c>
      <c r="M57" s="257" t="str">
        <f>IF(ISNUMBER(J57),IF(ISNA(VLOOKUP(J57,Forest_data[#All],4,FALSE)),#N/A, VLOOKUP(J57,Forest_data[#All],4,FALSE)),"")</f>
        <v/>
      </c>
      <c r="N57" s="257" t="str">
        <f>IF(ISNUMBER(J57),IF(ISNA(VLOOKUP(J57,Forest_data[#All],5,FALSE)),#N/A, VLOOKUP(J57,Forest_data[#All],5,FALSE)),"")</f>
        <v/>
      </c>
      <c r="O57" s="257" t="str">
        <f>IF(ISNUMBER(J57),IF(ISNA(VLOOKUP(J57,Forest_data[#All],6,FALSE)),#N/A, VLOOKUP(J57,Forest_data[#All],6,FALSE)),"")</f>
        <v/>
      </c>
      <c r="P57" s="257" t="str">
        <f t="shared" si="5"/>
        <v/>
      </c>
      <c r="Q57" s="257" t="str">
        <f t="shared" si="0"/>
        <v/>
      </c>
      <c r="R57" s="257" t="str">
        <f t="shared" si="6"/>
        <v/>
      </c>
      <c r="S57" s="283" t="str">
        <f t="shared" si="1"/>
        <v/>
      </c>
      <c r="T57" s="258" t="str">
        <f t="shared" si="2"/>
        <v/>
      </c>
      <c r="U57" s="257" t="str">
        <f t="shared" si="3"/>
        <v/>
      </c>
      <c r="V57" s="257" t="str">
        <f t="shared" si="4"/>
        <v/>
      </c>
      <c r="W57" s="283" t="str">
        <f t="shared" si="7"/>
        <v/>
      </c>
      <c r="X57" s="253"/>
      <c r="Y57" s="253"/>
      <c r="Z57" s="253"/>
      <c r="AA57" s="253"/>
      <c r="AB57" s="253"/>
      <c r="AC57" s="253"/>
      <c r="AD57" s="253"/>
      <c r="AE57" s="253"/>
      <c r="AF57" s="253"/>
      <c r="AG57" s="253"/>
      <c r="AH57" s="253"/>
      <c r="AI57" s="253"/>
      <c r="AJ57" s="253"/>
      <c r="AK57" s="253"/>
      <c r="AL57" s="253"/>
      <c r="AM57" s="253"/>
      <c r="AN57" s="253"/>
      <c r="AO57" s="253"/>
      <c r="AP57" s="253"/>
      <c r="AQ57" s="253"/>
      <c r="AR57" s="253"/>
      <c r="AS57" s="253"/>
      <c r="AT57" s="253"/>
      <c r="AU57" s="253"/>
      <c r="AV57" s="59"/>
    </row>
    <row r="58" spans="2:48" ht="19.5" customHeight="1" x14ac:dyDescent="0.25">
      <c r="B58" s="61"/>
      <c r="C58" s="61"/>
      <c r="D58" s="61"/>
      <c r="E58" s="61"/>
      <c r="F58" s="61"/>
      <c r="I58" s="260">
        <v>43</v>
      </c>
      <c r="J58" s="255" t="str">
        <f>IF(I58&lt;=MAX(Forest_data[Age]),I58,"")</f>
        <v/>
      </c>
      <c r="K58" s="256" t="str">
        <f>IF(ISNUMBER(J58),LOOKUP(J58, Forest_data[[#All],[Age]],Forest_data[[#All],[Number of trees per ha]]),"")</f>
        <v/>
      </c>
      <c r="L58" s="257" t="str">
        <f>IF(ISNUMBER(J58),IF(ISNA(VLOOKUP(J58,Forest_data[#All],3,FALSE)),#N/A, VLOOKUP(J58,Forest_data[#All],3,FALSE)),"")</f>
        <v/>
      </c>
      <c r="M58" s="257" t="str">
        <f>IF(ISNUMBER(J58),IF(ISNA(VLOOKUP(J58,Forest_data[#All],4,FALSE)),#N/A, VLOOKUP(J58,Forest_data[#All],4,FALSE)),"")</f>
        <v/>
      </c>
      <c r="N58" s="257" t="str">
        <f>IF(ISNUMBER(J58),IF(ISNA(VLOOKUP(J58,Forest_data[#All],5,FALSE)),#N/A, VLOOKUP(J58,Forest_data[#All],5,FALSE)),"")</f>
        <v/>
      </c>
      <c r="O58" s="257" t="str">
        <f>IF(ISNUMBER(J58),IF(ISNA(VLOOKUP(J58,Forest_data[#All],6,FALSE)),#N/A, VLOOKUP(J58,Forest_data[#All],6,FALSE)),"")</f>
        <v/>
      </c>
      <c r="P58" s="257" t="str">
        <f t="shared" si="5"/>
        <v/>
      </c>
      <c r="Q58" s="257" t="str">
        <f t="shared" si="0"/>
        <v/>
      </c>
      <c r="R58" s="257" t="str">
        <f t="shared" si="6"/>
        <v/>
      </c>
      <c r="S58" s="283" t="str">
        <f t="shared" si="1"/>
        <v/>
      </c>
      <c r="T58" s="258" t="str">
        <f t="shared" si="2"/>
        <v/>
      </c>
      <c r="U58" s="257" t="str">
        <f t="shared" si="3"/>
        <v/>
      </c>
      <c r="V58" s="257" t="str">
        <f t="shared" si="4"/>
        <v/>
      </c>
      <c r="W58" s="283" t="str">
        <f t="shared" si="7"/>
        <v/>
      </c>
      <c r="X58" s="253"/>
      <c r="Y58" s="253"/>
      <c r="Z58" s="253"/>
      <c r="AA58" s="253"/>
      <c r="AB58" s="253"/>
      <c r="AC58" s="253"/>
      <c r="AD58" s="253"/>
      <c r="AE58" s="253"/>
      <c r="AF58" s="253"/>
      <c r="AG58" s="253"/>
      <c r="AH58" s="253"/>
      <c r="AI58" s="253"/>
      <c r="AJ58" s="253"/>
      <c r="AK58" s="253"/>
      <c r="AL58" s="253"/>
      <c r="AM58" s="253"/>
      <c r="AN58" s="253"/>
      <c r="AO58" s="253"/>
      <c r="AP58" s="253"/>
      <c r="AQ58" s="253"/>
      <c r="AR58" s="253"/>
      <c r="AS58" s="253"/>
      <c r="AT58" s="253"/>
      <c r="AU58" s="253"/>
      <c r="AV58" s="59"/>
    </row>
    <row r="59" spans="2:48" ht="19.5" customHeight="1" x14ac:dyDescent="0.25">
      <c r="B59" s="61"/>
      <c r="C59" s="61"/>
      <c r="D59" s="61"/>
      <c r="E59" s="61"/>
      <c r="F59" s="61"/>
      <c r="I59" s="83">
        <v>44</v>
      </c>
      <c r="J59" s="255" t="str">
        <f>IF(I59&lt;=MAX(Forest_data[Age]),I59,"")</f>
        <v/>
      </c>
      <c r="K59" s="256" t="str">
        <f>IF(ISNUMBER(J59),LOOKUP(J59, Forest_data[[#All],[Age]],Forest_data[[#All],[Number of trees per ha]]),"")</f>
        <v/>
      </c>
      <c r="L59" s="257" t="str">
        <f>IF(ISNUMBER(J59),IF(ISNA(VLOOKUP(J59,Forest_data[#All],3,FALSE)),#N/A, VLOOKUP(J59,Forest_data[#All],3,FALSE)),"")</f>
        <v/>
      </c>
      <c r="M59" s="257" t="str">
        <f>IF(ISNUMBER(J59),IF(ISNA(VLOOKUP(J59,Forest_data[#All],4,FALSE)),#N/A, VLOOKUP(J59,Forest_data[#All],4,FALSE)),"")</f>
        <v/>
      </c>
      <c r="N59" s="257" t="str">
        <f>IF(ISNUMBER(J59),IF(ISNA(VLOOKUP(J59,Forest_data[#All],5,FALSE)),#N/A, VLOOKUP(J59,Forest_data[#All],5,FALSE)),"")</f>
        <v/>
      </c>
      <c r="O59" s="257" t="str">
        <f>IF(ISNUMBER(J59),IF(ISNA(VLOOKUP(J59,Forest_data[#All],6,FALSE)),#N/A, VLOOKUP(J59,Forest_data[#All],6,FALSE)),"")</f>
        <v/>
      </c>
      <c r="P59" s="257" t="str">
        <f t="shared" si="5"/>
        <v/>
      </c>
      <c r="Q59" s="257" t="str">
        <f t="shared" si="0"/>
        <v/>
      </c>
      <c r="R59" s="257" t="str">
        <f t="shared" si="6"/>
        <v/>
      </c>
      <c r="S59" s="283" t="str">
        <f t="shared" si="1"/>
        <v/>
      </c>
      <c r="T59" s="258" t="str">
        <f t="shared" si="2"/>
        <v/>
      </c>
      <c r="U59" s="257" t="str">
        <f t="shared" si="3"/>
        <v/>
      </c>
      <c r="V59" s="257" t="str">
        <f t="shared" si="4"/>
        <v/>
      </c>
      <c r="W59" s="283" t="str">
        <f t="shared" si="7"/>
        <v/>
      </c>
      <c r="X59" s="253"/>
      <c r="Y59" s="253"/>
      <c r="Z59" s="253"/>
      <c r="AA59" s="253"/>
      <c r="AB59" s="253"/>
      <c r="AC59" s="253"/>
      <c r="AD59" s="253"/>
      <c r="AE59" s="253"/>
      <c r="AF59" s="253"/>
      <c r="AG59" s="253"/>
      <c r="AH59" s="253"/>
      <c r="AI59" s="253"/>
      <c r="AJ59" s="253"/>
      <c r="AK59" s="253"/>
      <c r="AL59" s="253"/>
      <c r="AM59" s="253"/>
      <c r="AN59" s="253"/>
      <c r="AO59" s="253"/>
      <c r="AP59" s="253"/>
      <c r="AQ59" s="253"/>
      <c r="AR59" s="253"/>
      <c r="AS59" s="253"/>
      <c r="AT59" s="253"/>
      <c r="AU59" s="253"/>
      <c r="AV59" s="59"/>
    </row>
    <row r="60" spans="2:48" ht="19.5" customHeight="1" x14ac:dyDescent="0.25">
      <c r="B60" s="61"/>
      <c r="C60" s="61"/>
      <c r="D60" s="61"/>
      <c r="E60" s="61"/>
      <c r="F60" s="61"/>
      <c r="I60" s="83">
        <v>45</v>
      </c>
      <c r="J60" s="255" t="str">
        <f>IF(I60&lt;=MAX(Forest_data[Age]),I60,"")</f>
        <v/>
      </c>
      <c r="K60" s="256" t="str">
        <f>IF(ISNUMBER(J60),LOOKUP(J60, Forest_data[[#All],[Age]],Forest_data[[#All],[Number of trees per ha]]),"")</f>
        <v/>
      </c>
      <c r="L60" s="257" t="str">
        <f>IF(ISNUMBER(J60),IF(ISNA(VLOOKUP(J60,Forest_data[#All],3,FALSE)),#N/A, VLOOKUP(J60,Forest_data[#All],3,FALSE)),"")</f>
        <v/>
      </c>
      <c r="M60" s="257" t="str">
        <f>IF(ISNUMBER(J60),IF(ISNA(VLOOKUP(J60,Forest_data[#All],4,FALSE)),#N/A, VLOOKUP(J60,Forest_data[#All],4,FALSE)),"")</f>
        <v/>
      </c>
      <c r="N60" s="257" t="str">
        <f>IF(ISNUMBER(J60),IF(ISNA(VLOOKUP(J60,Forest_data[#All],5,FALSE)),#N/A, VLOOKUP(J60,Forest_data[#All],5,FALSE)),"")</f>
        <v/>
      </c>
      <c r="O60" s="257" t="str">
        <f>IF(ISNUMBER(J60),IF(ISNA(VLOOKUP(J60,Forest_data[#All],6,FALSE)),#N/A, VLOOKUP(J60,Forest_data[#All],6,FALSE)),"")</f>
        <v/>
      </c>
      <c r="P60" s="257" t="str">
        <f t="shared" si="5"/>
        <v/>
      </c>
      <c r="Q60" s="257" t="str">
        <f t="shared" si="0"/>
        <v/>
      </c>
      <c r="R60" s="257" t="str">
        <f t="shared" si="6"/>
        <v/>
      </c>
      <c r="S60" s="283" t="str">
        <f t="shared" si="1"/>
        <v/>
      </c>
      <c r="T60" s="258" t="str">
        <f t="shared" si="2"/>
        <v/>
      </c>
      <c r="U60" s="257" t="str">
        <f t="shared" si="3"/>
        <v/>
      </c>
      <c r="V60" s="257" t="str">
        <f t="shared" si="4"/>
        <v/>
      </c>
      <c r="W60" s="283" t="str">
        <f t="shared" si="7"/>
        <v/>
      </c>
      <c r="X60" s="253"/>
      <c r="Y60" s="253"/>
      <c r="Z60" s="253"/>
      <c r="AA60" s="253"/>
      <c r="AB60" s="253"/>
      <c r="AC60" s="253"/>
      <c r="AD60" s="253"/>
      <c r="AE60" s="253"/>
      <c r="AF60" s="253"/>
      <c r="AG60" s="253"/>
      <c r="AH60" s="253"/>
      <c r="AI60" s="253"/>
      <c r="AJ60" s="253"/>
      <c r="AK60" s="253"/>
      <c r="AL60" s="253"/>
      <c r="AM60" s="253"/>
      <c r="AN60" s="253"/>
      <c r="AO60" s="253"/>
      <c r="AP60" s="253"/>
      <c r="AQ60" s="253"/>
      <c r="AR60" s="253"/>
      <c r="AS60" s="253"/>
      <c r="AT60" s="253"/>
      <c r="AU60" s="253"/>
      <c r="AV60" s="59"/>
    </row>
    <row r="61" spans="2:48" ht="19.5" customHeight="1" x14ac:dyDescent="0.25">
      <c r="B61" s="61"/>
      <c r="C61" s="61"/>
      <c r="D61" s="61"/>
      <c r="E61" s="61"/>
      <c r="F61" s="61"/>
      <c r="I61" s="83">
        <v>46</v>
      </c>
      <c r="J61" s="255" t="str">
        <f>IF(I61&lt;=MAX(Forest_data[Age]),I61,"")</f>
        <v/>
      </c>
      <c r="K61" s="256" t="str">
        <f>IF(ISNUMBER(J61),LOOKUP(J61, Forest_data[[#All],[Age]],Forest_data[[#All],[Number of trees per ha]]),"")</f>
        <v/>
      </c>
      <c r="L61" s="257" t="str">
        <f>IF(ISNUMBER(J61),IF(ISNA(VLOOKUP(J61,Forest_data[#All],3,FALSE)),#N/A, VLOOKUP(J61,Forest_data[#All],3,FALSE)),"")</f>
        <v/>
      </c>
      <c r="M61" s="257" t="str">
        <f>IF(ISNUMBER(J61),IF(ISNA(VLOOKUP(J61,Forest_data[#All],4,FALSE)),#N/A, VLOOKUP(J61,Forest_data[#All],4,FALSE)),"")</f>
        <v/>
      </c>
      <c r="N61" s="257" t="str">
        <f>IF(ISNUMBER(J61),IF(ISNA(VLOOKUP(J61,Forest_data[#All],5,FALSE)),#N/A, VLOOKUP(J61,Forest_data[#All],5,FALSE)),"")</f>
        <v/>
      </c>
      <c r="O61" s="257" t="str">
        <f>IF(ISNUMBER(J61),IF(ISNA(VLOOKUP(J61,Forest_data[#All],6,FALSE)),#N/A, VLOOKUP(J61,Forest_data[#All],6,FALSE)),"")</f>
        <v/>
      </c>
      <c r="P61" s="257" t="str">
        <f t="shared" si="5"/>
        <v/>
      </c>
      <c r="Q61" s="257" t="str">
        <f t="shared" si="0"/>
        <v/>
      </c>
      <c r="R61" s="257" t="str">
        <f t="shared" si="6"/>
        <v/>
      </c>
      <c r="S61" s="283" t="str">
        <f t="shared" si="1"/>
        <v/>
      </c>
      <c r="T61" s="258" t="str">
        <f t="shared" si="2"/>
        <v/>
      </c>
      <c r="U61" s="257" t="str">
        <f t="shared" si="3"/>
        <v/>
      </c>
      <c r="V61" s="257" t="str">
        <f t="shared" si="4"/>
        <v/>
      </c>
      <c r="W61" s="283" t="str">
        <f t="shared" si="7"/>
        <v/>
      </c>
      <c r="X61" s="253"/>
      <c r="Y61" s="253"/>
      <c r="Z61" s="253"/>
      <c r="AA61" s="253"/>
      <c r="AB61" s="253"/>
      <c r="AC61" s="253"/>
      <c r="AD61" s="253"/>
      <c r="AE61" s="253"/>
      <c r="AF61" s="253"/>
      <c r="AG61" s="253"/>
      <c r="AH61" s="253"/>
      <c r="AI61" s="253"/>
      <c r="AJ61" s="253"/>
      <c r="AK61" s="253"/>
      <c r="AL61" s="253"/>
      <c r="AM61" s="253"/>
      <c r="AN61" s="253"/>
      <c r="AO61" s="253"/>
      <c r="AP61" s="253"/>
      <c r="AQ61" s="253"/>
      <c r="AR61" s="253"/>
      <c r="AS61" s="253"/>
      <c r="AT61" s="253"/>
      <c r="AU61" s="253"/>
      <c r="AV61" s="59"/>
    </row>
    <row r="62" spans="2:48" ht="19.5" customHeight="1" x14ac:dyDescent="0.25">
      <c r="B62" s="61"/>
      <c r="C62" s="61"/>
      <c r="D62" s="61"/>
      <c r="E62" s="61"/>
      <c r="F62" s="61"/>
      <c r="I62" s="260">
        <v>47</v>
      </c>
      <c r="J62" s="255" t="str">
        <f>IF(I62&lt;=MAX(Forest_data[Age]),I62,"")</f>
        <v/>
      </c>
      <c r="K62" s="256" t="str">
        <f>IF(ISNUMBER(J62),LOOKUP(J62, Forest_data[[#All],[Age]],Forest_data[[#All],[Number of trees per ha]]),"")</f>
        <v/>
      </c>
      <c r="L62" s="257" t="str">
        <f>IF(ISNUMBER(J62),IF(ISNA(VLOOKUP(J62,Forest_data[#All],3,FALSE)),#N/A, VLOOKUP(J62,Forest_data[#All],3,FALSE)),"")</f>
        <v/>
      </c>
      <c r="M62" s="257" t="str">
        <f>IF(ISNUMBER(J62),IF(ISNA(VLOOKUP(J62,Forest_data[#All],4,FALSE)),#N/A, VLOOKUP(J62,Forest_data[#All],4,FALSE)),"")</f>
        <v/>
      </c>
      <c r="N62" s="257" t="str">
        <f>IF(ISNUMBER(J62),IF(ISNA(VLOOKUP(J62,Forest_data[#All],5,FALSE)),#N/A, VLOOKUP(J62,Forest_data[#All],5,FALSE)),"")</f>
        <v/>
      </c>
      <c r="O62" s="257" t="str">
        <f>IF(ISNUMBER(J62),IF(ISNA(VLOOKUP(J62,Forest_data[#All],6,FALSE)),#N/A, VLOOKUP(J62,Forest_data[#All],6,FALSE)),"")</f>
        <v/>
      </c>
      <c r="P62" s="257" t="str">
        <f t="shared" si="5"/>
        <v/>
      </c>
      <c r="Q62" s="257" t="str">
        <f t="shared" si="0"/>
        <v/>
      </c>
      <c r="R62" s="257" t="str">
        <f t="shared" si="6"/>
        <v/>
      </c>
      <c r="S62" s="283" t="str">
        <f t="shared" si="1"/>
        <v/>
      </c>
      <c r="T62" s="258" t="str">
        <f t="shared" si="2"/>
        <v/>
      </c>
      <c r="U62" s="257" t="str">
        <f t="shared" si="3"/>
        <v/>
      </c>
      <c r="V62" s="257" t="str">
        <f t="shared" si="4"/>
        <v/>
      </c>
      <c r="W62" s="283" t="str">
        <f t="shared" si="7"/>
        <v/>
      </c>
      <c r="X62" s="253"/>
      <c r="Y62" s="253"/>
      <c r="Z62" s="253"/>
      <c r="AA62" s="253"/>
      <c r="AB62" s="253"/>
      <c r="AC62" s="253"/>
      <c r="AD62" s="253"/>
      <c r="AE62" s="253"/>
      <c r="AF62" s="253"/>
      <c r="AG62" s="253"/>
      <c r="AH62" s="253"/>
      <c r="AI62" s="253"/>
      <c r="AJ62" s="253"/>
      <c r="AK62" s="253"/>
      <c r="AL62" s="253"/>
      <c r="AM62" s="253"/>
      <c r="AN62" s="253"/>
      <c r="AO62" s="253"/>
      <c r="AP62" s="253"/>
      <c r="AQ62" s="253"/>
      <c r="AR62" s="253"/>
      <c r="AS62" s="253"/>
      <c r="AT62" s="253"/>
      <c r="AU62" s="253"/>
      <c r="AV62" s="59"/>
    </row>
    <row r="63" spans="2:48" ht="19.5" customHeight="1" x14ac:dyDescent="0.25">
      <c r="B63" s="61"/>
      <c r="C63" s="61"/>
      <c r="D63" s="61"/>
      <c r="E63" s="61"/>
      <c r="F63" s="61"/>
      <c r="I63" s="83">
        <v>48</v>
      </c>
      <c r="J63" s="255" t="str">
        <f>IF(I63&lt;=MAX(Forest_data[Age]),I63,"")</f>
        <v/>
      </c>
      <c r="K63" s="256" t="str">
        <f>IF(ISNUMBER(J63),LOOKUP(J63, Forest_data[[#All],[Age]],Forest_data[[#All],[Number of trees per ha]]),"")</f>
        <v/>
      </c>
      <c r="L63" s="257" t="str">
        <f>IF(ISNUMBER(J63),IF(ISNA(VLOOKUP(J63,Forest_data[#All],3,FALSE)),#N/A, VLOOKUP(J63,Forest_data[#All],3,FALSE)),"")</f>
        <v/>
      </c>
      <c r="M63" s="257" t="str">
        <f>IF(ISNUMBER(J63),IF(ISNA(VLOOKUP(J63,Forest_data[#All],4,FALSE)),#N/A, VLOOKUP(J63,Forest_data[#All],4,FALSE)),"")</f>
        <v/>
      </c>
      <c r="N63" s="257" t="str">
        <f>IF(ISNUMBER(J63),IF(ISNA(VLOOKUP(J63,Forest_data[#All],5,FALSE)),#N/A, VLOOKUP(J63,Forest_data[#All],5,FALSE)),"")</f>
        <v/>
      </c>
      <c r="O63" s="257" t="str">
        <f>IF(ISNUMBER(J63),IF(ISNA(VLOOKUP(J63,Forest_data[#All],6,FALSE)),#N/A, VLOOKUP(J63,Forest_data[#All],6,FALSE)),"")</f>
        <v/>
      </c>
      <c r="P63" s="257" t="str">
        <f t="shared" si="5"/>
        <v/>
      </c>
      <c r="Q63" s="257" t="str">
        <f t="shared" si="0"/>
        <v/>
      </c>
      <c r="R63" s="257" t="str">
        <f t="shared" si="6"/>
        <v/>
      </c>
      <c r="S63" s="283" t="str">
        <f t="shared" si="1"/>
        <v/>
      </c>
      <c r="T63" s="258" t="str">
        <f t="shared" si="2"/>
        <v/>
      </c>
      <c r="U63" s="257" t="str">
        <f t="shared" si="3"/>
        <v/>
      </c>
      <c r="V63" s="257" t="str">
        <f t="shared" si="4"/>
        <v/>
      </c>
      <c r="W63" s="283" t="str">
        <f t="shared" si="7"/>
        <v/>
      </c>
      <c r="X63" s="253"/>
      <c r="Y63" s="253"/>
      <c r="Z63" s="253"/>
      <c r="AA63" s="253"/>
      <c r="AB63" s="253"/>
      <c r="AC63" s="253"/>
      <c r="AD63" s="253"/>
      <c r="AE63" s="253"/>
      <c r="AF63" s="253"/>
      <c r="AG63" s="253"/>
      <c r="AH63" s="253"/>
      <c r="AI63" s="253"/>
      <c r="AJ63" s="253"/>
      <c r="AK63" s="253"/>
      <c r="AL63" s="253"/>
      <c r="AM63" s="253"/>
      <c r="AN63" s="253"/>
      <c r="AO63" s="253"/>
      <c r="AP63" s="253"/>
      <c r="AQ63" s="253"/>
      <c r="AR63" s="253"/>
      <c r="AS63" s="253"/>
      <c r="AT63" s="253"/>
      <c r="AU63" s="253"/>
      <c r="AV63" s="59"/>
    </row>
    <row r="64" spans="2:48" ht="19.5" customHeight="1" x14ac:dyDescent="0.25">
      <c r="B64" s="61"/>
      <c r="C64" s="61"/>
      <c r="D64" s="61"/>
      <c r="E64" s="61"/>
      <c r="F64" s="61"/>
      <c r="I64" s="83">
        <v>49</v>
      </c>
      <c r="J64" s="255" t="str">
        <f>IF(I64&lt;=MAX(Forest_data[Age]),I64,"")</f>
        <v/>
      </c>
      <c r="K64" s="256" t="str">
        <f>IF(ISNUMBER(J64),LOOKUP(J64, Forest_data[[#All],[Age]],Forest_data[[#All],[Number of trees per ha]]),"")</f>
        <v/>
      </c>
      <c r="L64" s="257" t="str">
        <f>IF(ISNUMBER(J64),IF(ISNA(VLOOKUP(J64,Forest_data[#All],3,FALSE)),#N/A, VLOOKUP(J64,Forest_data[#All],3,FALSE)),"")</f>
        <v/>
      </c>
      <c r="M64" s="257" t="str">
        <f>IF(ISNUMBER(J64),IF(ISNA(VLOOKUP(J64,Forest_data[#All],4,FALSE)),#N/A, VLOOKUP(J64,Forest_data[#All],4,FALSE)),"")</f>
        <v/>
      </c>
      <c r="N64" s="257" t="str">
        <f>IF(ISNUMBER(J64),IF(ISNA(VLOOKUP(J64,Forest_data[#All],5,FALSE)),#N/A, VLOOKUP(J64,Forest_data[#All],5,FALSE)),"")</f>
        <v/>
      </c>
      <c r="O64" s="257" t="str">
        <f>IF(ISNUMBER(J64),IF(ISNA(VLOOKUP(J64,Forest_data[#All],6,FALSE)),#N/A, VLOOKUP(J64,Forest_data[#All],6,FALSE)),"")</f>
        <v/>
      </c>
      <c r="P64" s="257" t="str">
        <f t="shared" si="5"/>
        <v/>
      </c>
      <c r="Q64" s="257" t="str">
        <f t="shared" si="0"/>
        <v/>
      </c>
      <c r="R64" s="257" t="str">
        <f t="shared" si="6"/>
        <v/>
      </c>
      <c r="S64" s="283" t="str">
        <f t="shared" si="1"/>
        <v/>
      </c>
      <c r="T64" s="258" t="str">
        <f t="shared" si="2"/>
        <v/>
      </c>
      <c r="U64" s="257" t="str">
        <f t="shared" si="3"/>
        <v/>
      </c>
      <c r="V64" s="257" t="str">
        <f t="shared" si="4"/>
        <v/>
      </c>
      <c r="W64" s="283" t="str">
        <f t="shared" si="7"/>
        <v/>
      </c>
      <c r="X64" s="253"/>
      <c r="Y64" s="253"/>
      <c r="Z64" s="253"/>
      <c r="AA64" s="253"/>
      <c r="AB64" s="253"/>
      <c r="AC64" s="253"/>
      <c r="AD64" s="253"/>
      <c r="AE64" s="253"/>
      <c r="AF64" s="253"/>
      <c r="AG64" s="253"/>
      <c r="AH64" s="253"/>
      <c r="AI64" s="253"/>
      <c r="AJ64" s="253"/>
      <c r="AK64" s="253"/>
      <c r="AL64" s="253"/>
      <c r="AM64" s="253"/>
      <c r="AN64" s="253"/>
      <c r="AO64" s="253"/>
      <c r="AP64" s="253"/>
      <c r="AQ64" s="253"/>
      <c r="AR64" s="253"/>
      <c r="AS64" s="253"/>
      <c r="AT64" s="253"/>
      <c r="AU64" s="253"/>
      <c r="AV64" s="59"/>
    </row>
    <row r="65" spans="1:48" ht="19.5" customHeight="1" x14ac:dyDescent="0.25">
      <c r="B65" s="61"/>
      <c r="C65" s="61"/>
      <c r="D65" s="61"/>
      <c r="E65" s="61"/>
      <c r="F65" s="61"/>
      <c r="I65" s="83">
        <v>50</v>
      </c>
      <c r="J65" s="255" t="str">
        <f>IF(I65&lt;=MAX(Forest_data[Age]),I65,"")</f>
        <v/>
      </c>
      <c r="K65" s="256" t="str">
        <f>IF(ISNUMBER(J65),LOOKUP(J65, Forest_data[[#All],[Age]],Forest_data[[#All],[Number of trees per ha]]),"")</f>
        <v/>
      </c>
      <c r="L65" s="257" t="str">
        <f>IF(ISNUMBER(J65),IF(ISNA(VLOOKUP(J65,Forest_data[#All],3,FALSE)),#N/A, VLOOKUP(J65,Forest_data[#All],3,FALSE)),"")</f>
        <v/>
      </c>
      <c r="M65" s="257" t="str">
        <f>IF(ISNUMBER(J65),IF(ISNA(VLOOKUP(J65,Forest_data[#All],4,FALSE)),#N/A, VLOOKUP(J65,Forest_data[#All],4,FALSE)),"")</f>
        <v/>
      </c>
      <c r="N65" s="257" t="str">
        <f>IF(ISNUMBER(J65),IF(ISNA(VLOOKUP(J65,Forest_data[#All],5,FALSE)),#N/A, VLOOKUP(J65,Forest_data[#All],5,FALSE)),"")</f>
        <v/>
      </c>
      <c r="O65" s="257" t="str">
        <f>IF(ISNUMBER(J65),IF(ISNA(VLOOKUP(J65,Forest_data[#All],6,FALSE)),#N/A, VLOOKUP(J65,Forest_data[#All],6,FALSE)),"")</f>
        <v/>
      </c>
      <c r="P65" s="257" t="str">
        <f t="shared" si="5"/>
        <v/>
      </c>
      <c r="Q65" s="257" t="str">
        <f t="shared" si="0"/>
        <v/>
      </c>
      <c r="R65" s="257" t="str">
        <f t="shared" si="6"/>
        <v/>
      </c>
      <c r="S65" s="283" t="str">
        <f t="shared" si="1"/>
        <v/>
      </c>
      <c r="T65" s="258" t="str">
        <f t="shared" si="2"/>
        <v/>
      </c>
      <c r="U65" s="257" t="str">
        <f t="shared" si="3"/>
        <v/>
      </c>
      <c r="V65" s="257" t="str">
        <f t="shared" si="4"/>
        <v/>
      </c>
      <c r="W65" s="283" t="str">
        <f t="shared" si="7"/>
        <v/>
      </c>
      <c r="X65" s="253"/>
      <c r="Y65" s="253"/>
      <c r="Z65" s="253"/>
      <c r="AA65" s="253"/>
      <c r="AB65" s="253"/>
      <c r="AC65" s="253"/>
      <c r="AD65" s="253"/>
      <c r="AE65" s="253"/>
      <c r="AF65" s="253"/>
      <c r="AG65" s="253"/>
      <c r="AH65" s="253"/>
      <c r="AI65" s="253"/>
      <c r="AJ65" s="253"/>
      <c r="AK65" s="253"/>
      <c r="AL65" s="253"/>
      <c r="AM65" s="253"/>
      <c r="AN65" s="253"/>
      <c r="AO65" s="253"/>
      <c r="AP65" s="253"/>
      <c r="AQ65" s="253"/>
      <c r="AR65" s="253"/>
      <c r="AS65" s="253"/>
      <c r="AT65" s="253"/>
      <c r="AU65" s="253"/>
      <c r="AV65" s="59"/>
    </row>
    <row r="66" spans="1:48" ht="19.5" customHeight="1" x14ac:dyDescent="0.25">
      <c r="B66" s="61"/>
      <c r="C66" s="61"/>
      <c r="D66" s="61"/>
      <c r="E66" s="61"/>
      <c r="F66" s="61"/>
      <c r="I66" s="260">
        <v>51</v>
      </c>
      <c r="J66" s="255" t="str">
        <f>IF(I66&lt;=MAX(Forest_data[Age]),I66,"")</f>
        <v/>
      </c>
      <c r="K66" s="256" t="str">
        <f>IF(ISNUMBER(J66),LOOKUP(J66, Forest_data[[#All],[Age]],Forest_data[[#All],[Number of trees per ha]]),"")</f>
        <v/>
      </c>
      <c r="L66" s="257" t="str">
        <f>IF(ISNUMBER(J66),IF(ISNA(VLOOKUP(J66,Forest_data[#All],3,FALSE)),#N/A, VLOOKUP(J66,Forest_data[#All],3,FALSE)),"")</f>
        <v/>
      </c>
      <c r="M66" s="257" t="str">
        <f>IF(ISNUMBER(J66),IF(ISNA(VLOOKUP(J66,Forest_data[#All],4,FALSE)),#N/A, VLOOKUP(J66,Forest_data[#All],4,FALSE)),"")</f>
        <v/>
      </c>
      <c r="N66" s="257" t="str">
        <f>IF(ISNUMBER(J66),IF(ISNA(VLOOKUP(J66,Forest_data[#All],5,FALSE)),#N/A, VLOOKUP(J66,Forest_data[#All],5,FALSE)),"")</f>
        <v/>
      </c>
      <c r="O66" s="257" t="str">
        <f>IF(ISNUMBER(J66),IF(ISNA(VLOOKUP(J66,Forest_data[#All],6,FALSE)),#N/A, VLOOKUP(J66,Forest_data[#All],6,FALSE)),"")</f>
        <v/>
      </c>
      <c r="P66" s="257" t="str">
        <f t="shared" si="5"/>
        <v/>
      </c>
      <c r="Q66" s="257" t="str">
        <f t="shared" si="0"/>
        <v/>
      </c>
      <c r="R66" s="257" t="str">
        <f t="shared" si="6"/>
        <v/>
      </c>
      <c r="S66" s="283" t="str">
        <f t="shared" si="1"/>
        <v/>
      </c>
      <c r="T66" s="258" t="str">
        <f t="shared" si="2"/>
        <v/>
      </c>
      <c r="U66" s="257" t="str">
        <f t="shared" si="3"/>
        <v/>
      </c>
      <c r="V66" s="257" t="str">
        <f t="shared" si="4"/>
        <v/>
      </c>
      <c r="W66" s="283" t="str">
        <f t="shared" si="7"/>
        <v/>
      </c>
      <c r="X66" s="253"/>
      <c r="Y66" s="253"/>
      <c r="Z66" s="253"/>
      <c r="AA66" s="253"/>
      <c r="AB66" s="253"/>
      <c r="AC66" s="253"/>
      <c r="AD66" s="253"/>
      <c r="AE66" s="253"/>
      <c r="AF66" s="253"/>
      <c r="AG66" s="253"/>
      <c r="AH66" s="253"/>
      <c r="AI66" s="253"/>
      <c r="AJ66" s="253"/>
      <c r="AK66" s="253"/>
      <c r="AL66" s="253"/>
      <c r="AM66" s="253"/>
      <c r="AN66" s="253"/>
      <c r="AO66" s="253"/>
      <c r="AP66" s="253"/>
      <c r="AQ66" s="253"/>
      <c r="AR66" s="253"/>
      <c r="AS66" s="253"/>
      <c r="AT66" s="253"/>
      <c r="AU66" s="253"/>
      <c r="AV66" s="59"/>
    </row>
    <row r="67" spans="1:48" ht="19.5" customHeight="1" x14ac:dyDescent="0.25">
      <c r="B67" s="61"/>
      <c r="C67" s="61"/>
      <c r="D67" s="61"/>
      <c r="E67" s="61"/>
      <c r="F67" s="61"/>
      <c r="I67" s="83">
        <v>52</v>
      </c>
      <c r="J67" s="255" t="str">
        <f>IF(I67&lt;=MAX(Forest_data[Age]),I67,"")</f>
        <v/>
      </c>
      <c r="K67" s="256" t="str">
        <f>IF(ISNUMBER(J67),LOOKUP(J67, Forest_data[[#All],[Age]],Forest_data[[#All],[Number of trees per ha]]),"")</f>
        <v/>
      </c>
      <c r="L67" s="257" t="str">
        <f>IF(ISNUMBER(J67),IF(ISNA(VLOOKUP(J67,Forest_data[#All],3,FALSE)),#N/A, VLOOKUP(J67,Forest_data[#All],3,FALSE)),"")</f>
        <v/>
      </c>
      <c r="M67" s="257" t="str">
        <f>IF(ISNUMBER(J67),IF(ISNA(VLOOKUP(J67,Forest_data[#All],4,FALSE)),#N/A, VLOOKUP(J67,Forest_data[#All],4,FALSE)),"")</f>
        <v/>
      </c>
      <c r="N67" s="257" t="str">
        <f>IF(ISNUMBER(J67),IF(ISNA(VLOOKUP(J67,Forest_data[#All],5,FALSE)),#N/A, VLOOKUP(J67,Forest_data[#All],5,FALSE)),"")</f>
        <v/>
      </c>
      <c r="O67" s="257" t="str">
        <f>IF(ISNUMBER(J67),IF(ISNA(VLOOKUP(J67,Forest_data[#All],6,FALSE)),#N/A, VLOOKUP(J67,Forest_data[#All],6,FALSE)),"")</f>
        <v/>
      </c>
      <c r="P67" s="257" t="str">
        <f t="shared" si="5"/>
        <v/>
      </c>
      <c r="Q67" s="257" t="str">
        <f t="shared" si="0"/>
        <v/>
      </c>
      <c r="R67" s="257" t="str">
        <f t="shared" si="6"/>
        <v/>
      </c>
      <c r="S67" s="283" t="str">
        <f t="shared" si="1"/>
        <v/>
      </c>
      <c r="T67" s="258" t="str">
        <f t="shared" si="2"/>
        <v/>
      </c>
      <c r="U67" s="257" t="str">
        <f t="shared" si="3"/>
        <v/>
      </c>
      <c r="V67" s="257" t="str">
        <f t="shared" si="4"/>
        <v/>
      </c>
      <c r="W67" s="283" t="str">
        <f t="shared" si="7"/>
        <v/>
      </c>
      <c r="X67" s="253"/>
      <c r="Y67" s="253"/>
      <c r="Z67" s="253"/>
      <c r="AA67" s="253"/>
      <c r="AB67" s="253"/>
      <c r="AC67" s="253"/>
      <c r="AD67" s="253"/>
      <c r="AE67" s="253"/>
      <c r="AF67" s="253"/>
      <c r="AG67" s="253"/>
      <c r="AH67" s="253"/>
      <c r="AI67" s="253"/>
      <c r="AJ67" s="253"/>
      <c r="AK67" s="253"/>
      <c r="AL67" s="253"/>
      <c r="AM67" s="253"/>
      <c r="AN67" s="253"/>
      <c r="AO67" s="253"/>
      <c r="AP67" s="253"/>
      <c r="AQ67" s="253"/>
      <c r="AR67" s="253"/>
      <c r="AS67" s="253"/>
      <c r="AT67" s="253"/>
      <c r="AU67" s="253"/>
      <c r="AV67" s="59"/>
    </row>
    <row r="68" spans="1:48" ht="19.5" customHeight="1" x14ac:dyDescent="0.25">
      <c r="B68" s="61"/>
      <c r="C68" s="61"/>
      <c r="D68" s="61"/>
      <c r="E68" s="61"/>
      <c r="F68" s="61"/>
      <c r="I68" s="83">
        <v>53</v>
      </c>
      <c r="J68" s="255" t="str">
        <f>IF(I68&lt;=MAX(Forest_data[Age]),I68,"")</f>
        <v/>
      </c>
      <c r="K68" s="256" t="str">
        <f>IF(ISNUMBER(J68),LOOKUP(J68, Forest_data[[#All],[Age]],Forest_data[[#All],[Number of trees per ha]]),"")</f>
        <v/>
      </c>
      <c r="L68" s="257" t="str">
        <f>IF(ISNUMBER(J68),IF(ISNA(VLOOKUP(J68,Forest_data[#All],3,FALSE)),#N/A, VLOOKUP(J68,Forest_data[#All],3,FALSE)),"")</f>
        <v/>
      </c>
      <c r="M68" s="257" t="str">
        <f>IF(ISNUMBER(J68),IF(ISNA(VLOOKUP(J68,Forest_data[#All],4,FALSE)),#N/A, VLOOKUP(J68,Forest_data[#All],4,FALSE)),"")</f>
        <v/>
      </c>
      <c r="N68" s="257" t="str">
        <f>IF(ISNUMBER(J68),IF(ISNA(VLOOKUP(J68,Forest_data[#All],5,FALSE)),#N/A, VLOOKUP(J68,Forest_data[#All],5,FALSE)),"")</f>
        <v/>
      </c>
      <c r="O68" s="257" t="str">
        <f>IF(ISNUMBER(J68),IF(ISNA(VLOOKUP(J68,Forest_data[#All],6,FALSE)),#N/A, VLOOKUP(J68,Forest_data[#All],6,FALSE)),"")</f>
        <v/>
      </c>
      <c r="P68" s="257" t="str">
        <f t="shared" si="5"/>
        <v/>
      </c>
      <c r="Q68" s="257" t="str">
        <f t="shared" si="0"/>
        <v/>
      </c>
      <c r="R68" s="257" t="str">
        <f t="shared" si="6"/>
        <v/>
      </c>
      <c r="S68" s="283" t="str">
        <f t="shared" si="1"/>
        <v/>
      </c>
      <c r="T68" s="258" t="str">
        <f t="shared" si="2"/>
        <v/>
      </c>
      <c r="U68" s="257" t="str">
        <f t="shared" si="3"/>
        <v/>
      </c>
      <c r="V68" s="257" t="str">
        <f t="shared" si="4"/>
        <v/>
      </c>
      <c r="W68" s="283" t="str">
        <f t="shared" si="7"/>
        <v/>
      </c>
      <c r="X68" s="253"/>
      <c r="Y68" s="253"/>
      <c r="Z68" s="253"/>
      <c r="AA68" s="253"/>
      <c r="AB68" s="253"/>
      <c r="AC68" s="253"/>
      <c r="AD68" s="253"/>
      <c r="AE68" s="253"/>
      <c r="AF68" s="253"/>
      <c r="AG68" s="253"/>
      <c r="AH68" s="253"/>
      <c r="AI68" s="253"/>
      <c r="AJ68" s="253"/>
      <c r="AK68" s="253"/>
      <c r="AL68" s="253"/>
      <c r="AM68" s="253"/>
      <c r="AN68" s="253"/>
      <c r="AO68" s="253"/>
      <c r="AP68" s="253"/>
      <c r="AQ68" s="253"/>
      <c r="AR68" s="253"/>
      <c r="AS68" s="253"/>
      <c r="AT68" s="253"/>
      <c r="AU68" s="253"/>
      <c r="AV68" s="59"/>
    </row>
    <row r="69" spans="1:48" ht="19.5" customHeight="1" x14ac:dyDescent="0.25">
      <c r="B69" s="61"/>
      <c r="C69" s="61"/>
      <c r="D69" s="61"/>
      <c r="E69" s="61"/>
      <c r="F69" s="61"/>
      <c r="I69" s="83">
        <v>54</v>
      </c>
      <c r="J69" s="255" t="str">
        <f>IF(I69&lt;=MAX(Forest_data[Age]),I69,"")</f>
        <v/>
      </c>
      <c r="K69" s="256" t="str">
        <f>IF(ISNUMBER(J69),LOOKUP(J69, Forest_data[[#All],[Age]],Forest_data[[#All],[Number of trees per ha]]),"")</f>
        <v/>
      </c>
      <c r="L69" s="257" t="str">
        <f>IF(ISNUMBER(J69),IF(ISNA(VLOOKUP(J69,Forest_data[#All],3,FALSE)),#N/A, VLOOKUP(J69,Forest_data[#All],3,FALSE)),"")</f>
        <v/>
      </c>
      <c r="M69" s="257" t="str">
        <f>IF(ISNUMBER(J69),IF(ISNA(VLOOKUP(J69,Forest_data[#All],4,FALSE)),#N/A, VLOOKUP(J69,Forest_data[#All],4,FALSE)),"")</f>
        <v/>
      </c>
      <c r="N69" s="257" t="str">
        <f>IF(ISNUMBER(J69),IF(ISNA(VLOOKUP(J69,Forest_data[#All],5,FALSE)),#N/A, VLOOKUP(J69,Forest_data[#All],5,FALSE)),"")</f>
        <v/>
      </c>
      <c r="O69" s="257" t="str">
        <f>IF(ISNUMBER(J69),IF(ISNA(VLOOKUP(J69,Forest_data[#All],6,FALSE)),#N/A, VLOOKUP(J69,Forest_data[#All],6,FALSE)),"")</f>
        <v/>
      </c>
      <c r="P69" s="257" t="str">
        <f t="shared" si="5"/>
        <v/>
      </c>
      <c r="Q69" s="257" t="str">
        <f t="shared" si="0"/>
        <v/>
      </c>
      <c r="R69" s="257" t="str">
        <f t="shared" si="6"/>
        <v/>
      </c>
      <c r="S69" s="283" t="str">
        <f t="shared" si="1"/>
        <v/>
      </c>
      <c r="T69" s="258" t="str">
        <f t="shared" si="2"/>
        <v/>
      </c>
      <c r="U69" s="257" t="str">
        <f t="shared" si="3"/>
        <v/>
      </c>
      <c r="V69" s="257" t="str">
        <f t="shared" si="4"/>
        <v/>
      </c>
      <c r="W69" s="283" t="str">
        <f t="shared" si="7"/>
        <v/>
      </c>
      <c r="X69" s="253"/>
      <c r="Y69" s="253"/>
      <c r="Z69" s="253"/>
      <c r="AA69" s="253"/>
      <c r="AB69" s="253"/>
      <c r="AC69" s="253"/>
      <c r="AD69" s="253"/>
      <c r="AE69" s="253"/>
      <c r="AF69" s="253"/>
      <c r="AG69" s="253"/>
      <c r="AH69" s="253"/>
      <c r="AI69" s="253"/>
      <c r="AJ69" s="253"/>
      <c r="AK69" s="253"/>
      <c r="AL69" s="253"/>
      <c r="AM69" s="253"/>
      <c r="AN69" s="253"/>
      <c r="AO69" s="253"/>
      <c r="AP69" s="253"/>
      <c r="AQ69" s="253"/>
      <c r="AR69" s="253"/>
      <c r="AS69" s="253"/>
      <c r="AT69" s="253"/>
      <c r="AU69" s="253"/>
      <c r="AV69" s="59"/>
    </row>
    <row r="70" spans="1:48" ht="19.5" customHeight="1" x14ac:dyDescent="0.25">
      <c r="B70" s="61"/>
      <c r="C70" s="61"/>
      <c r="D70" s="61"/>
      <c r="E70" s="61"/>
      <c r="F70" s="61"/>
      <c r="I70" s="260">
        <v>55</v>
      </c>
      <c r="J70" s="255" t="str">
        <f>IF(I70&lt;=MAX(Forest_data[Age]),I70,"")</f>
        <v/>
      </c>
      <c r="K70" s="256" t="str">
        <f>IF(ISNUMBER(J70),LOOKUP(J70, Forest_data[[#All],[Age]],Forest_data[[#All],[Number of trees per ha]]),"")</f>
        <v/>
      </c>
      <c r="L70" s="257" t="str">
        <f>IF(ISNUMBER(J70),IF(ISNA(VLOOKUP(J70,Forest_data[#All],3,FALSE)),#N/A, VLOOKUP(J70,Forest_data[#All],3,FALSE)),"")</f>
        <v/>
      </c>
      <c r="M70" s="257" t="str">
        <f>IF(ISNUMBER(J70),IF(ISNA(VLOOKUP(J70,Forest_data[#All],4,FALSE)),#N/A, VLOOKUP(J70,Forest_data[#All],4,FALSE)),"")</f>
        <v/>
      </c>
      <c r="N70" s="257" t="str">
        <f>IF(ISNUMBER(J70),IF(ISNA(VLOOKUP(J70,Forest_data[#All],5,FALSE)),#N/A, VLOOKUP(J70,Forest_data[#All],5,FALSE)),"")</f>
        <v/>
      </c>
      <c r="O70" s="257" t="str">
        <f>IF(ISNUMBER(J70),IF(ISNA(VLOOKUP(J70,Forest_data[#All],6,FALSE)),#N/A, VLOOKUP(J70,Forest_data[#All],6,FALSE)),"")</f>
        <v/>
      </c>
      <c r="P70" s="257" t="str">
        <f t="shared" si="5"/>
        <v/>
      </c>
      <c r="Q70" s="257" t="str">
        <f t="shared" si="0"/>
        <v/>
      </c>
      <c r="R70" s="257" t="str">
        <f t="shared" si="6"/>
        <v/>
      </c>
      <c r="S70" s="283" t="str">
        <f t="shared" si="1"/>
        <v/>
      </c>
      <c r="T70" s="258" t="str">
        <f t="shared" si="2"/>
        <v/>
      </c>
      <c r="U70" s="257" t="str">
        <f t="shared" si="3"/>
        <v/>
      </c>
      <c r="V70" s="257" t="str">
        <f t="shared" si="4"/>
        <v/>
      </c>
      <c r="W70" s="283" t="str">
        <f t="shared" si="7"/>
        <v/>
      </c>
      <c r="X70" s="253"/>
      <c r="Y70" s="253"/>
      <c r="Z70" s="253"/>
      <c r="AA70" s="253"/>
      <c r="AB70" s="253"/>
      <c r="AC70" s="253"/>
      <c r="AD70" s="253"/>
      <c r="AE70" s="253"/>
      <c r="AF70" s="253"/>
      <c r="AG70" s="253"/>
      <c r="AH70" s="253"/>
      <c r="AI70" s="253"/>
      <c r="AJ70" s="253"/>
      <c r="AK70" s="253"/>
      <c r="AL70" s="253"/>
      <c r="AM70" s="253"/>
      <c r="AN70" s="253"/>
      <c r="AO70" s="253"/>
      <c r="AP70" s="253"/>
      <c r="AQ70" s="253"/>
      <c r="AR70" s="253"/>
      <c r="AS70" s="253"/>
      <c r="AT70" s="253"/>
      <c r="AU70" s="253"/>
      <c r="AV70" s="59"/>
    </row>
    <row r="71" spans="1:48" ht="19.5" customHeight="1" x14ac:dyDescent="0.25">
      <c r="B71" s="61"/>
      <c r="C71" s="61"/>
      <c r="D71" s="61"/>
      <c r="E71" s="61"/>
      <c r="F71" s="61"/>
      <c r="I71" s="83">
        <v>56</v>
      </c>
      <c r="J71" s="255" t="str">
        <f>IF(I71&lt;=MAX(Forest_data[Age]),I71,"")</f>
        <v/>
      </c>
      <c r="K71" s="256" t="str">
        <f>IF(ISNUMBER(J71),LOOKUP(J71, Forest_data[[#All],[Age]],Forest_data[[#All],[Number of trees per ha]]),"")</f>
        <v/>
      </c>
      <c r="L71" s="257" t="str">
        <f>IF(ISNUMBER(J71),IF(ISNA(VLOOKUP(J71,Forest_data[#All],3,FALSE)),#N/A, VLOOKUP(J71,Forest_data[#All],3,FALSE)),"")</f>
        <v/>
      </c>
      <c r="M71" s="257" t="str">
        <f>IF(ISNUMBER(J71),IF(ISNA(VLOOKUP(J71,Forest_data[#All],4,FALSE)),#N/A, VLOOKUP(J71,Forest_data[#All],4,FALSE)),"")</f>
        <v/>
      </c>
      <c r="N71" s="257" t="str">
        <f>IF(ISNUMBER(J71),IF(ISNA(VLOOKUP(J71,Forest_data[#All],5,FALSE)),#N/A, VLOOKUP(J71,Forest_data[#All],5,FALSE)),"")</f>
        <v/>
      </c>
      <c r="O71" s="257" t="str">
        <f>IF(ISNUMBER(J71),IF(ISNA(VLOOKUP(J71,Forest_data[#All],6,FALSE)),#N/A, VLOOKUP(J71,Forest_data[#All],6,FALSE)),"")</f>
        <v/>
      </c>
      <c r="P71" s="257" t="str">
        <f t="shared" si="5"/>
        <v/>
      </c>
      <c r="Q71" s="257" t="str">
        <f t="shared" si="0"/>
        <v/>
      </c>
      <c r="R71" s="257" t="str">
        <f t="shared" si="6"/>
        <v/>
      </c>
      <c r="S71" s="283" t="str">
        <f t="shared" si="1"/>
        <v/>
      </c>
      <c r="T71" s="258" t="str">
        <f t="shared" si="2"/>
        <v/>
      </c>
      <c r="U71" s="257" t="str">
        <f t="shared" si="3"/>
        <v/>
      </c>
      <c r="V71" s="257" t="str">
        <f t="shared" si="4"/>
        <v/>
      </c>
      <c r="W71" s="283" t="str">
        <f t="shared" si="7"/>
        <v/>
      </c>
      <c r="X71" s="253"/>
      <c r="Y71" s="253"/>
      <c r="Z71" s="253"/>
      <c r="AA71" s="253"/>
      <c r="AB71" s="253"/>
      <c r="AC71" s="253"/>
      <c r="AD71" s="253"/>
      <c r="AE71" s="253"/>
      <c r="AF71" s="253"/>
      <c r="AG71" s="253"/>
      <c r="AH71" s="253"/>
      <c r="AI71" s="253"/>
      <c r="AJ71" s="253"/>
      <c r="AK71" s="253"/>
      <c r="AL71" s="253"/>
      <c r="AM71" s="253"/>
      <c r="AN71" s="253"/>
      <c r="AO71" s="253"/>
      <c r="AP71" s="253"/>
      <c r="AQ71" s="253"/>
      <c r="AR71" s="253"/>
      <c r="AS71" s="253"/>
      <c r="AT71" s="253"/>
      <c r="AU71" s="253"/>
      <c r="AV71" s="59"/>
    </row>
    <row r="72" spans="1:48" ht="19.5" customHeight="1" x14ac:dyDescent="0.25">
      <c r="A72" s="241"/>
      <c r="B72" s="243"/>
      <c r="C72" s="242"/>
      <c r="D72" s="242"/>
      <c r="E72" s="242"/>
      <c r="F72" s="242"/>
      <c r="G72" s="239"/>
      <c r="I72" s="83">
        <v>57</v>
      </c>
      <c r="J72" s="255" t="str">
        <f>IF(I72&lt;=MAX(Forest_data[Age]),I72,"")</f>
        <v/>
      </c>
      <c r="K72" s="256" t="str">
        <f>IF(ISNUMBER(J72),LOOKUP(J72, Forest_data[[#All],[Age]],Forest_data[[#All],[Number of trees per ha]]),"")</f>
        <v/>
      </c>
      <c r="L72" s="257" t="str">
        <f>IF(ISNUMBER(J72),IF(ISNA(VLOOKUP(J72,Forest_data[#All],3,FALSE)),#N/A, VLOOKUP(J72,Forest_data[#All],3,FALSE)),"")</f>
        <v/>
      </c>
      <c r="M72" s="257" t="str">
        <f>IF(ISNUMBER(J72),IF(ISNA(VLOOKUP(J72,Forest_data[#All],4,FALSE)),#N/A, VLOOKUP(J72,Forest_data[#All],4,FALSE)),"")</f>
        <v/>
      </c>
      <c r="N72" s="257" t="str">
        <f>IF(ISNUMBER(J72),IF(ISNA(VLOOKUP(J72,Forest_data[#All],5,FALSE)),#N/A, VLOOKUP(J72,Forest_data[#All],5,FALSE)),"")</f>
        <v/>
      </c>
      <c r="O72" s="257" t="str">
        <f>IF(ISNUMBER(J72),IF(ISNA(VLOOKUP(J72,Forest_data[#All],6,FALSE)),#N/A, VLOOKUP(J72,Forest_data[#All],6,FALSE)),"")</f>
        <v/>
      </c>
      <c r="P72" s="257" t="str">
        <f t="shared" si="5"/>
        <v/>
      </c>
      <c r="Q72" s="257" t="str">
        <f t="shared" si="0"/>
        <v/>
      </c>
      <c r="R72" s="257" t="str">
        <f t="shared" si="6"/>
        <v/>
      </c>
      <c r="S72" s="283" t="str">
        <f t="shared" si="1"/>
        <v/>
      </c>
      <c r="T72" s="258" t="str">
        <f t="shared" si="2"/>
        <v/>
      </c>
      <c r="U72" s="257" t="str">
        <f t="shared" si="3"/>
        <v/>
      </c>
      <c r="V72" s="257" t="str">
        <f t="shared" si="4"/>
        <v/>
      </c>
      <c r="W72" s="283" t="str">
        <f t="shared" si="7"/>
        <v/>
      </c>
      <c r="X72" s="253"/>
      <c r="Y72" s="253"/>
      <c r="Z72" s="253"/>
      <c r="AA72" s="253"/>
      <c r="AB72" s="253"/>
      <c r="AC72" s="253"/>
      <c r="AD72" s="253"/>
      <c r="AE72" s="253"/>
      <c r="AF72" s="253"/>
      <c r="AG72" s="253"/>
      <c r="AH72" s="253"/>
      <c r="AI72" s="253"/>
      <c r="AJ72" s="253"/>
      <c r="AK72" s="253"/>
      <c r="AL72" s="253"/>
      <c r="AM72" s="253"/>
      <c r="AN72" s="253"/>
      <c r="AO72" s="253"/>
      <c r="AP72" s="253"/>
      <c r="AQ72" s="253"/>
      <c r="AR72" s="253"/>
      <c r="AS72" s="253"/>
      <c r="AT72" s="253"/>
      <c r="AU72" s="253"/>
      <c r="AV72" s="59"/>
    </row>
    <row r="73" spans="1:48" ht="19.5" customHeight="1" x14ac:dyDescent="0.25">
      <c r="A73" s="241"/>
      <c r="B73" s="243"/>
      <c r="C73" s="242"/>
      <c r="D73" s="242"/>
      <c r="E73" s="242"/>
      <c r="F73" s="242"/>
      <c r="G73" s="239"/>
      <c r="I73" s="83">
        <v>58</v>
      </c>
      <c r="J73" s="255" t="str">
        <f>IF(I73&lt;=MAX(Forest_data[Age]),I73,"")</f>
        <v/>
      </c>
      <c r="K73" s="256" t="str">
        <f>IF(ISNUMBER(J73),LOOKUP(J73, Forest_data[[#All],[Age]],Forest_data[[#All],[Number of trees per ha]]),"")</f>
        <v/>
      </c>
      <c r="L73" s="257" t="str">
        <f>IF(ISNUMBER(J73),IF(ISNA(VLOOKUP(J73,Forest_data[#All],3,FALSE)),#N/A, VLOOKUP(J73,Forest_data[#All],3,FALSE)),"")</f>
        <v/>
      </c>
      <c r="M73" s="257" t="str">
        <f>IF(ISNUMBER(J73),IF(ISNA(VLOOKUP(J73,Forest_data[#All],4,FALSE)),#N/A, VLOOKUP(J73,Forest_data[#All],4,FALSE)),"")</f>
        <v/>
      </c>
      <c r="N73" s="257" t="str">
        <f>IF(ISNUMBER(J73),IF(ISNA(VLOOKUP(J73,Forest_data[#All],5,FALSE)),#N/A, VLOOKUP(J73,Forest_data[#All],5,FALSE)),"")</f>
        <v/>
      </c>
      <c r="O73" s="257" t="str">
        <f>IF(ISNUMBER(J73),IF(ISNA(VLOOKUP(J73,Forest_data[#All],6,FALSE)),#N/A, VLOOKUP(J73,Forest_data[#All],6,FALSE)),"")</f>
        <v/>
      </c>
      <c r="P73" s="257" t="str">
        <f t="shared" si="5"/>
        <v/>
      </c>
      <c r="Q73" s="257" t="str">
        <f t="shared" si="0"/>
        <v/>
      </c>
      <c r="R73" s="257" t="str">
        <f t="shared" si="6"/>
        <v/>
      </c>
      <c r="S73" s="283" t="str">
        <f t="shared" si="1"/>
        <v/>
      </c>
      <c r="T73" s="258" t="str">
        <f t="shared" si="2"/>
        <v/>
      </c>
      <c r="U73" s="257" t="str">
        <f t="shared" si="3"/>
        <v/>
      </c>
      <c r="V73" s="257" t="str">
        <f t="shared" si="4"/>
        <v/>
      </c>
      <c r="W73" s="283" t="str">
        <f t="shared" si="7"/>
        <v/>
      </c>
      <c r="X73" s="253"/>
      <c r="Y73" s="253"/>
      <c r="Z73" s="253"/>
      <c r="AA73" s="253"/>
      <c r="AB73" s="253"/>
      <c r="AC73" s="253"/>
      <c r="AD73" s="253"/>
      <c r="AE73" s="253"/>
      <c r="AF73" s="253"/>
      <c r="AG73" s="253"/>
      <c r="AH73" s="253"/>
      <c r="AI73" s="253"/>
      <c r="AJ73" s="253"/>
      <c r="AK73" s="253"/>
      <c r="AL73" s="253"/>
      <c r="AM73" s="253"/>
      <c r="AN73" s="253"/>
      <c r="AO73" s="253"/>
      <c r="AP73" s="253"/>
      <c r="AQ73" s="253"/>
      <c r="AR73" s="253"/>
      <c r="AS73" s="253"/>
      <c r="AT73" s="253"/>
      <c r="AU73" s="253"/>
      <c r="AV73" s="59"/>
    </row>
    <row r="74" spans="1:48" ht="19.5" customHeight="1" x14ac:dyDescent="0.25">
      <c r="A74" s="241"/>
      <c r="B74" s="243"/>
      <c r="C74" s="242"/>
      <c r="D74" s="242"/>
      <c r="E74" s="242"/>
      <c r="F74" s="242"/>
      <c r="G74" s="239"/>
      <c r="H74" s="230"/>
      <c r="I74" s="260">
        <v>59</v>
      </c>
      <c r="J74" s="255" t="str">
        <f>IF(I74&lt;=MAX(Forest_data[Age]),I74,"")</f>
        <v/>
      </c>
      <c r="K74" s="256" t="str">
        <f>IF(ISNUMBER(J74),LOOKUP(J74, Forest_data[[#All],[Age]],Forest_data[[#All],[Number of trees per ha]]),"")</f>
        <v/>
      </c>
      <c r="L74" s="257" t="str">
        <f>IF(ISNUMBER(J74),IF(ISNA(VLOOKUP(J74,Forest_data[#All],3,FALSE)),#N/A, VLOOKUP(J74,Forest_data[#All],3,FALSE)),"")</f>
        <v/>
      </c>
      <c r="M74" s="257" t="str">
        <f>IF(ISNUMBER(J74),IF(ISNA(VLOOKUP(J74,Forest_data[#All],4,FALSE)),#N/A, VLOOKUP(J74,Forest_data[#All],4,FALSE)),"")</f>
        <v/>
      </c>
      <c r="N74" s="257" t="str">
        <f>IF(ISNUMBER(J74),IF(ISNA(VLOOKUP(J74,Forest_data[#All],5,FALSE)),#N/A, VLOOKUP(J74,Forest_data[#All],5,FALSE)),"")</f>
        <v/>
      </c>
      <c r="O74" s="257" t="str">
        <f>IF(ISNUMBER(J74),IF(ISNA(VLOOKUP(J74,Forest_data[#All],6,FALSE)),#N/A, VLOOKUP(J74,Forest_data[#All],6,FALSE)),"")</f>
        <v/>
      </c>
      <c r="P74" s="257" t="str">
        <f t="shared" si="5"/>
        <v/>
      </c>
      <c r="Q74" s="257" t="str">
        <f t="shared" si="0"/>
        <v/>
      </c>
      <c r="R74" s="257" t="str">
        <f t="shared" si="6"/>
        <v/>
      </c>
      <c r="S74" s="283" t="str">
        <f t="shared" si="1"/>
        <v/>
      </c>
      <c r="T74" s="258" t="str">
        <f t="shared" si="2"/>
        <v/>
      </c>
      <c r="U74" s="257" t="str">
        <f t="shared" si="3"/>
        <v/>
      </c>
      <c r="V74" s="257" t="str">
        <f t="shared" si="4"/>
        <v/>
      </c>
      <c r="W74" s="283" t="str">
        <f t="shared" si="7"/>
        <v/>
      </c>
      <c r="X74" s="253"/>
      <c r="Y74" s="253"/>
      <c r="Z74" s="253"/>
      <c r="AA74" s="253"/>
      <c r="AB74" s="253"/>
      <c r="AC74" s="253"/>
      <c r="AD74" s="253"/>
      <c r="AE74" s="253"/>
      <c r="AF74" s="253"/>
      <c r="AG74" s="253"/>
      <c r="AH74" s="253"/>
      <c r="AI74" s="253"/>
      <c r="AJ74" s="253"/>
      <c r="AK74" s="253"/>
      <c r="AL74" s="253"/>
      <c r="AM74" s="253"/>
      <c r="AN74" s="253"/>
      <c r="AO74" s="253"/>
      <c r="AP74" s="253"/>
      <c r="AQ74" s="253"/>
      <c r="AR74" s="253"/>
      <c r="AS74" s="253"/>
      <c r="AT74" s="253"/>
      <c r="AU74" s="253"/>
      <c r="AV74" s="59"/>
    </row>
    <row r="75" spans="1:48" ht="19.5" customHeight="1" thickBot="1" x14ac:dyDescent="0.4">
      <c r="A75" s="265" t="s">
        <v>679</v>
      </c>
      <c r="B75" s="266"/>
      <c r="C75" s="265" t="s">
        <v>680</v>
      </c>
      <c r="D75" s="265"/>
      <c r="E75" s="266"/>
      <c r="F75" s="266"/>
      <c r="G75" s="230"/>
      <c r="H75" s="264"/>
      <c r="I75" s="83">
        <v>60</v>
      </c>
      <c r="J75" s="255" t="str">
        <f>IF(I75&lt;=MAX(Forest_data[Age]),I75,"")</f>
        <v/>
      </c>
      <c r="K75" s="256" t="str">
        <f>IF(ISNUMBER(J75),LOOKUP(J75, Forest_data[[#All],[Age]],Forest_data[[#All],[Number of trees per ha]]),"")</f>
        <v/>
      </c>
      <c r="L75" s="257" t="str">
        <f>IF(ISNUMBER(J75),IF(ISNA(VLOOKUP(J75,Forest_data[#All],3,FALSE)),#N/A, VLOOKUP(J75,Forest_data[#All],3,FALSE)),"")</f>
        <v/>
      </c>
      <c r="M75" s="257" t="str">
        <f>IF(ISNUMBER(J75),IF(ISNA(VLOOKUP(J75,Forest_data[#All],4,FALSE)),#N/A, VLOOKUP(J75,Forest_data[#All],4,FALSE)),"")</f>
        <v/>
      </c>
      <c r="N75" s="257" t="str">
        <f>IF(ISNUMBER(J75),IF(ISNA(VLOOKUP(J75,Forest_data[#All],5,FALSE)),#N/A, VLOOKUP(J75,Forest_data[#All],5,FALSE)),"")</f>
        <v/>
      </c>
      <c r="O75" s="257" t="str">
        <f>IF(ISNUMBER(J75),IF(ISNA(VLOOKUP(J75,Forest_data[#All],6,FALSE)),#N/A, VLOOKUP(J75,Forest_data[#All],6,FALSE)),"")</f>
        <v/>
      </c>
      <c r="P75" s="257" t="str">
        <f t="shared" si="5"/>
        <v/>
      </c>
      <c r="Q75" s="257" t="str">
        <f t="shared" si="0"/>
        <v/>
      </c>
      <c r="R75" s="257" t="str">
        <f t="shared" si="6"/>
        <v/>
      </c>
      <c r="S75" s="283" t="str">
        <f t="shared" si="1"/>
        <v/>
      </c>
      <c r="T75" s="258" t="str">
        <f t="shared" si="2"/>
        <v/>
      </c>
      <c r="U75" s="257" t="str">
        <f t="shared" si="3"/>
        <v/>
      </c>
      <c r="V75" s="257" t="str">
        <f t="shared" si="4"/>
        <v/>
      </c>
      <c r="W75" s="283" t="str">
        <f t="shared" si="7"/>
        <v/>
      </c>
      <c r="X75" s="253"/>
      <c r="Y75" s="253"/>
      <c r="Z75" s="253"/>
      <c r="AA75" s="253"/>
      <c r="AB75" s="253"/>
      <c r="AC75" s="253"/>
      <c r="AD75" s="253"/>
      <c r="AE75" s="253"/>
      <c r="AF75" s="253"/>
      <c r="AG75" s="253"/>
      <c r="AH75" s="253"/>
      <c r="AI75" s="253"/>
      <c r="AJ75" s="253"/>
      <c r="AK75" s="253"/>
      <c r="AL75" s="253"/>
      <c r="AM75" s="253"/>
      <c r="AN75" s="253"/>
      <c r="AO75" s="253"/>
      <c r="AP75" s="253"/>
      <c r="AQ75" s="253"/>
      <c r="AR75" s="253"/>
      <c r="AS75" s="253"/>
      <c r="AT75" s="253"/>
      <c r="AU75" s="253"/>
      <c r="AV75" s="59"/>
    </row>
    <row r="76" spans="1:48" ht="19.5" customHeight="1" thickTop="1" x14ac:dyDescent="0.35">
      <c r="A76" s="267" t="s">
        <v>681</v>
      </c>
      <c r="B76" s="268" t="s">
        <v>682</v>
      </c>
      <c r="C76" s="231"/>
      <c r="D76" s="61"/>
      <c r="E76" s="61"/>
      <c r="F76" s="231"/>
      <c r="H76" s="264"/>
      <c r="I76" s="83">
        <v>61</v>
      </c>
      <c r="J76" s="255" t="str">
        <f>IF(I76&lt;=MAX(Forest_data[Age]),I76,"")</f>
        <v/>
      </c>
      <c r="K76" s="256" t="str">
        <f>IF(ISNUMBER(J76),LOOKUP(J76, Forest_data[[#All],[Age]],Forest_data[[#All],[Number of trees per ha]]),"")</f>
        <v/>
      </c>
      <c r="L76" s="257" t="str">
        <f>IF(ISNUMBER(J76),IF(ISNA(VLOOKUP(J76,Forest_data[#All],3,FALSE)),#N/A, VLOOKUP(J76,Forest_data[#All],3,FALSE)),"")</f>
        <v/>
      </c>
      <c r="M76" s="257" t="str">
        <f>IF(ISNUMBER(J76),IF(ISNA(VLOOKUP(J76,Forest_data[#All],4,FALSE)),#N/A, VLOOKUP(J76,Forest_data[#All],4,FALSE)),"")</f>
        <v/>
      </c>
      <c r="N76" s="257" t="str">
        <f>IF(ISNUMBER(J76),IF(ISNA(VLOOKUP(J76,Forest_data[#All],5,FALSE)),#N/A, VLOOKUP(J76,Forest_data[#All],5,FALSE)),"")</f>
        <v/>
      </c>
      <c r="O76" s="257" t="str">
        <f>IF(ISNUMBER(J76),IF(ISNA(VLOOKUP(J76,Forest_data[#All],6,FALSE)),#N/A, VLOOKUP(J76,Forest_data[#All],6,FALSE)),"")</f>
        <v/>
      </c>
      <c r="P76" s="257" t="str">
        <f t="shared" si="5"/>
        <v/>
      </c>
      <c r="Q76" s="257" t="str">
        <f t="shared" si="0"/>
        <v/>
      </c>
      <c r="R76" s="257" t="str">
        <f t="shared" si="6"/>
        <v/>
      </c>
      <c r="S76" s="283" t="str">
        <f t="shared" si="1"/>
        <v/>
      </c>
      <c r="T76" s="258" t="str">
        <f t="shared" si="2"/>
        <v/>
      </c>
      <c r="U76" s="257" t="str">
        <f t="shared" si="3"/>
        <v/>
      </c>
      <c r="V76" s="257" t="str">
        <f t="shared" si="4"/>
        <v/>
      </c>
      <c r="W76" s="283" t="str">
        <f t="shared" si="7"/>
        <v/>
      </c>
      <c r="X76" s="253"/>
      <c r="Y76" s="253"/>
      <c r="Z76" s="253"/>
      <c r="AA76" s="253"/>
      <c r="AB76" s="253"/>
      <c r="AC76" s="253"/>
      <c r="AD76" s="253"/>
      <c r="AE76" s="253"/>
      <c r="AF76" s="253"/>
      <c r="AG76" s="253"/>
      <c r="AH76" s="253"/>
      <c r="AI76" s="253"/>
      <c r="AJ76" s="253"/>
      <c r="AK76" s="253"/>
      <c r="AL76" s="253"/>
      <c r="AM76" s="253"/>
      <c r="AN76" s="253"/>
      <c r="AO76" s="253"/>
      <c r="AP76" s="253"/>
      <c r="AQ76" s="253"/>
      <c r="AR76" s="253"/>
      <c r="AS76" s="253"/>
      <c r="AT76" s="253"/>
      <c r="AU76" s="253"/>
      <c r="AV76" s="59"/>
    </row>
    <row r="77" spans="1:48" ht="19.5" customHeight="1" x14ac:dyDescent="0.35">
      <c r="A77" s="61" t="s">
        <v>683</v>
      </c>
      <c r="B77" s="61" t="s">
        <v>684</v>
      </c>
      <c r="C77" s="231"/>
      <c r="D77" s="61"/>
      <c r="E77" s="61"/>
      <c r="F77" s="231"/>
      <c r="H77" s="264"/>
      <c r="I77" s="83">
        <v>62</v>
      </c>
      <c r="J77" s="255" t="str">
        <f>IF(I77&lt;=MAX(Forest_data[Age]),I77,"")</f>
        <v/>
      </c>
      <c r="K77" s="256" t="str">
        <f>IF(ISNUMBER(J77),LOOKUP(J77, Forest_data[[#All],[Age]],Forest_data[[#All],[Number of trees per ha]]),"")</f>
        <v/>
      </c>
      <c r="L77" s="257" t="str">
        <f>IF(ISNUMBER(J77),IF(ISNA(VLOOKUP(J77,Forest_data[#All],3,FALSE)),#N/A, VLOOKUP(J77,Forest_data[#All],3,FALSE)),"")</f>
        <v/>
      </c>
      <c r="M77" s="257" t="str">
        <f>IF(ISNUMBER(J77),IF(ISNA(VLOOKUP(J77,Forest_data[#All],4,FALSE)),#N/A, VLOOKUP(J77,Forest_data[#All],4,FALSE)),"")</f>
        <v/>
      </c>
      <c r="N77" s="257" t="str">
        <f>IF(ISNUMBER(J77),IF(ISNA(VLOOKUP(J77,Forest_data[#All],5,FALSE)),#N/A, VLOOKUP(J77,Forest_data[#All],5,FALSE)),"")</f>
        <v/>
      </c>
      <c r="O77" s="257" t="str">
        <f>IF(ISNUMBER(J77),IF(ISNA(VLOOKUP(J77,Forest_data[#All],6,FALSE)),#N/A, VLOOKUP(J77,Forest_data[#All],6,FALSE)),"")</f>
        <v/>
      </c>
      <c r="P77" s="257" t="str">
        <f t="shared" si="5"/>
        <v/>
      </c>
      <c r="Q77" s="257" t="str">
        <f t="shared" si="0"/>
        <v/>
      </c>
      <c r="R77" s="257" t="str">
        <f t="shared" si="6"/>
        <v/>
      </c>
      <c r="S77" s="283" t="str">
        <f t="shared" si="1"/>
        <v/>
      </c>
      <c r="T77" s="258" t="str">
        <f t="shared" si="2"/>
        <v/>
      </c>
      <c r="U77" s="257" t="str">
        <f t="shared" si="3"/>
        <v/>
      </c>
      <c r="V77" s="257" t="str">
        <f t="shared" si="4"/>
        <v/>
      </c>
      <c r="W77" s="283" t="str">
        <f t="shared" si="7"/>
        <v/>
      </c>
      <c r="X77" s="253"/>
      <c r="Y77" s="253"/>
      <c r="Z77" s="253"/>
      <c r="AA77" s="253"/>
      <c r="AB77" s="253"/>
      <c r="AC77" s="253"/>
      <c r="AD77" s="253"/>
      <c r="AE77" s="253"/>
      <c r="AF77" s="253"/>
      <c r="AG77" s="253"/>
      <c r="AH77" s="253"/>
      <c r="AI77" s="253"/>
      <c r="AJ77" s="253"/>
      <c r="AK77" s="253"/>
      <c r="AL77" s="253"/>
      <c r="AM77" s="253"/>
      <c r="AN77" s="253"/>
      <c r="AO77" s="253"/>
      <c r="AP77" s="253"/>
      <c r="AQ77" s="253"/>
      <c r="AR77" s="253"/>
      <c r="AS77" s="253"/>
      <c r="AT77" s="253"/>
      <c r="AU77" s="253"/>
      <c r="AV77" s="59"/>
    </row>
    <row r="78" spans="1:48" ht="19.5" customHeight="1" x14ac:dyDescent="0.35">
      <c r="B78" s="61"/>
      <c r="C78" s="61"/>
      <c r="D78" s="61"/>
      <c r="E78" s="61"/>
      <c r="F78" s="61"/>
      <c r="G78" s="264"/>
      <c r="H78" s="264"/>
      <c r="I78" s="260">
        <v>63</v>
      </c>
      <c r="J78" s="255" t="str">
        <f>IF(I78&lt;=MAX(Forest_data[Age]),I78,"")</f>
        <v/>
      </c>
      <c r="K78" s="256" t="str">
        <f>IF(ISNUMBER(J78),LOOKUP(J78, Forest_data[[#All],[Age]],Forest_data[[#All],[Number of trees per ha]]),"")</f>
        <v/>
      </c>
      <c r="L78" s="257" t="str">
        <f>IF(ISNUMBER(J78),IF(ISNA(VLOOKUP(J78,Forest_data[#All],3,FALSE)),#N/A, VLOOKUP(J78,Forest_data[#All],3,FALSE)),"")</f>
        <v/>
      </c>
      <c r="M78" s="257" t="str">
        <f>IF(ISNUMBER(J78),IF(ISNA(VLOOKUP(J78,Forest_data[#All],4,FALSE)),#N/A, VLOOKUP(J78,Forest_data[#All],4,FALSE)),"")</f>
        <v/>
      </c>
      <c r="N78" s="257" t="str">
        <f>IF(ISNUMBER(J78),IF(ISNA(VLOOKUP(J78,Forest_data[#All],5,FALSE)),#N/A, VLOOKUP(J78,Forest_data[#All],5,FALSE)),"")</f>
        <v/>
      </c>
      <c r="O78" s="257" t="str">
        <f>IF(ISNUMBER(J78),IF(ISNA(VLOOKUP(J78,Forest_data[#All],6,FALSE)),#N/A, VLOOKUP(J78,Forest_data[#All],6,FALSE)),"")</f>
        <v/>
      </c>
      <c r="P78" s="257" t="str">
        <f t="shared" si="5"/>
        <v/>
      </c>
      <c r="Q78" s="257" t="str">
        <f t="shared" si="0"/>
        <v/>
      </c>
      <c r="R78" s="257" t="str">
        <f t="shared" si="6"/>
        <v/>
      </c>
      <c r="S78" s="283" t="str">
        <f t="shared" si="1"/>
        <v/>
      </c>
      <c r="T78" s="258" t="str">
        <f t="shared" si="2"/>
        <v/>
      </c>
      <c r="U78" s="257" t="str">
        <f t="shared" si="3"/>
        <v/>
      </c>
      <c r="V78" s="257" t="str">
        <f t="shared" si="4"/>
        <v/>
      </c>
      <c r="W78" s="283" t="str">
        <f t="shared" si="7"/>
        <v/>
      </c>
      <c r="X78" s="253"/>
      <c r="Y78" s="253"/>
      <c r="Z78" s="253"/>
      <c r="AA78" s="253"/>
      <c r="AB78" s="253"/>
      <c r="AC78" s="253"/>
      <c r="AD78" s="253"/>
      <c r="AE78" s="253"/>
      <c r="AF78" s="253"/>
      <c r="AG78" s="253"/>
      <c r="AH78" s="253"/>
      <c r="AI78" s="253"/>
      <c r="AJ78" s="253"/>
      <c r="AK78" s="253"/>
      <c r="AL78" s="253"/>
      <c r="AM78" s="253"/>
      <c r="AN78" s="253"/>
      <c r="AO78" s="253"/>
      <c r="AP78" s="253"/>
      <c r="AQ78" s="253"/>
      <c r="AR78" s="253"/>
      <c r="AS78" s="253"/>
      <c r="AT78" s="253"/>
      <c r="AU78" s="253"/>
      <c r="AV78" s="59"/>
    </row>
    <row r="79" spans="1:48" ht="19.5" customHeight="1" x14ac:dyDescent="0.35">
      <c r="A79" s="269" t="s">
        <v>679</v>
      </c>
      <c r="B79" s="61"/>
      <c r="C79" s="61"/>
      <c r="D79" s="61"/>
      <c r="E79" s="61"/>
      <c r="F79" s="61"/>
      <c r="G79" s="264"/>
      <c r="H79" s="264"/>
      <c r="I79" s="83">
        <v>64</v>
      </c>
      <c r="J79" s="255" t="str">
        <f>IF(I79&lt;=MAX(Forest_data[Age]),I79,"")</f>
        <v/>
      </c>
      <c r="K79" s="256" t="str">
        <f>IF(ISNUMBER(J79),LOOKUP(J79, Forest_data[[#All],[Age]],Forest_data[[#All],[Number of trees per ha]]),"")</f>
        <v/>
      </c>
      <c r="L79" s="257" t="str">
        <f>IF(ISNUMBER(J79),IF(ISNA(VLOOKUP(J79,Forest_data[#All],3,FALSE)),#N/A, VLOOKUP(J79,Forest_data[#All],3,FALSE)),"")</f>
        <v/>
      </c>
      <c r="M79" s="257" t="str">
        <f>IF(ISNUMBER(J79),IF(ISNA(VLOOKUP(J79,Forest_data[#All],4,FALSE)),#N/A, VLOOKUP(J79,Forest_data[#All],4,FALSE)),"")</f>
        <v/>
      </c>
      <c r="N79" s="257" t="str">
        <f>IF(ISNUMBER(J79),IF(ISNA(VLOOKUP(J79,Forest_data[#All],5,FALSE)),#N/A, VLOOKUP(J79,Forest_data[#All],5,FALSE)),"")</f>
        <v/>
      </c>
      <c r="O79" s="257" t="str">
        <f>IF(ISNUMBER(J79),IF(ISNA(VLOOKUP(J79,Forest_data[#All],6,FALSE)),#N/A, VLOOKUP(J79,Forest_data[#All],6,FALSE)),"")</f>
        <v/>
      </c>
      <c r="P79" s="257" t="str">
        <f t="shared" si="5"/>
        <v/>
      </c>
      <c r="Q79" s="257" t="str">
        <f t="shared" si="0"/>
        <v/>
      </c>
      <c r="R79" s="257" t="str">
        <f t="shared" si="6"/>
        <v/>
      </c>
      <c r="S79" s="283" t="str">
        <f t="shared" si="1"/>
        <v/>
      </c>
      <c r="T79" s="258" t="str">
        <f t="shared" si="2"/>
        <v/>
      </c>
      <c r="U79" s="257" t="str">
        <f t="shared" si="3"/>
        <v/>
      </c>
      <c r="V79" s="257" t="str">
        <f t="shared" si="4"/>
        <v/>
      </c>
      <c r="W79" s="283" t="str">
        <f t="shared" si="7"/>
        <v/>
      </c>
      <c r="X79" s="253"/>
      <c r="Y79" s="253"/>
      <c r="Z79" s="253"/>
      <c r="AA79" s="253"/>
      <c r="AB79" s="253"/>
      <c r="AC79" s="253"/>
      <c r="AD79" s="253"/>
      <c r="AE79" s="253"/>
      <c r="AF79" s="253"/>
      <c r="AG79" s="253"/>
      <c r="AH79" s="253"/>
      <c r="AI79" s="253"/>
      <c r="AJ79" s="253"/>
      <c r="AK79" s="253"/>
      <c r="AL79" s="253"/>
      <c r="AM79" s="253"/>
      <c r="AN79" s="253"/>
      <c r="AO79" s="253"/>
      <c r="AP79" s="253"/>
      <c r="AQ79" s="253"/>
      <c r="AR79" s="253"/>
      <c r="AS79" s="253"/>
      <c r="AT79" s="253"/>
      <c r="AU79" s="253"/>
      <c r="AV79" s="59"/>
    </row>
    <row r="80" spans="1:48" ht="19.5" customHeight="1" x14ac:dyDescent="0.35">
      <c r="A80" s="269"/>
      <c r="B80" s="61"/>
      <c r="C80" s="61"/>
      <c r="D80" s="61"/>
      <c r="E80" s="61"/>
      <c r="F80" s="61"/>
      <c r="G80" s="264"/>
      <c r="H80" s="264"/>
      <c r="I80" s="83">
        <v>65</v>
      </c>
      <c r="J80" s="255" t="str">
        <f>IF(I80&lt;=MAX(Forest_data[Age]),I80,"")</f>
        <v/>
      </c>
      <c r="K80" s="256" t="str">
        <f>IF(ISNUMBER(J80),LOOKUP(J80, Forest_data[[#All],[Age]],Forest_data[[#All],[Number of trees per ha]]),"")</f>
        <v/>
      </c>
      <c r="L80" s="257" t="str">
        <f>IF(ISNUMBER(J80),IF(ISNA(VLOOKUP(J80,Forest_data[#All],3,FALSE)),#N/A, VLOOKUP(J80,Forest_data[#All],3,FALSE)),"")</f>
        <v/>
      </c>
      <c r="M80" s="257" t="str">
        <f>IF(ISNUMBER(J80),IF(ISNA(VLOOKUP(J80,Forest_data[#All],4,FALSE)),#N/A, VLOOKUP(J80,Forest_data[#All],4,FALSE)),"")</f>
        <v/>
      </c>
      <c r="N80" s="257" t="str">
        <f>IF(ISNUMBER(J80),IF(ISNA(VLOOKUP(J80,Forest_data[#All],5,FALSE)),#N/A, VLOOKUP(J80,Forest_data[#All],5,FALSE)),"")</f>
        <v/>
      </c>
      <c r="O80" s="257" t="str">
        <f>IF(ISNUMBER(J80),IF(ISNA(VLOOKUP(J80,Forest_data[#All],6,FALSE)),#N/A, VLOOKUP(J80,Forest_data[#All],6,FALSE)),"")</f>
        <v/>
      </c>
      <c r="P80" s="257" t="str">
        <f t="shared" si="5"/>
        <v/>
      </c>
      <c r="Q80" s="257" t="str">
        <f t="shared" ref="Q80:Q143" si="8">IF(ISNUMBER(J80),IF($B$85*POWER(J80,2)+$C$85*J80+$D$85&lt;0,M80,$B$85*POWER(J80,2)+$C$85*J80+$D$85),"")</f>
        <v/>
      </c>
      <c r="R80" s="257" t="str">
        <f t="shared" si="6"/>
        <v/>
      </c>
      <c r="S80" s="283" t="str">
        <f t="shared" ref="S80:S143" si="9">IF(ISNUMBER(J80),IF($B$91*POWER(J80,2)+$C$91*J80+$D$91&lt;0,O80,$B$91*POWER(J80,2)+$C$91*J80+$D$91),"")</f>
        <v/>
      </c>
      <c r="T80" s="258" t="str">
        <f t="shared" ref="T80:T143" si="10">IF(ISNUMBER(J80),IF(+$B$83*POWER(J80,3)+$C$83*POWER(J80,2)+$D$83*POWER(J80,1)+$E$83&lt;0,L80,+$B$83*POWER(J80,3)+$C$83*POWER(J80,2)+$D$83*POWER(J80,1)+$E$83),"")</f>
        <v/>
      </c>
      <c r="U80" s="257" t="str">
        <f t="shared" ref="U80:U143" si="11">IF(ISNUMBER(J80),IF(+$B$86*POWER(J80,3)+$C$86*POWER(J80,2)+$D$86*POWER(J80,1)+$E$86&lt;0,M80,+$B$86*POWER(J80,3)+$C$86*POWER(J80,2)+$D$86*POWER(J80,1)+$E$86),"")</f>
        <v/>
      </c>
      <c r="V80" s="257" t="str">
        <f t="shared" si="4"/>
        <v/>
      </c>
      <c r="W80" s="283" t="str">
        <f t="shared" ref="W80:W143" si="12">IF(ISNUMBER(J80),IF(+$B$92*POWER(J80,3)+$C$92*POWER(J80,2)+$D$92*POWER(J80,1)+$E$92&lt;0,O80,+$B$92*POWER(J80,3)+$C$92*POWER(J80,2)+$D$92*POWER(J80,1)+$E$92),"")</f>
        <v/>
      </c>
      <c r="X80" s="253"/>
      <c r="Y80" s="253"/>
      <c r="Z80" s="253"/>
      <c r="AA80" s="253"/>
      <c r="AB80" s="253"/>
      <c r="AC80" s="253"/>
      <c r="AD80" s="253"/>
      <c r="AE80" s="253"/>
      <c r="AF80" s="253"/>
      <c r="AG80" s="253"/>
      <c r="AH80" s="253"/>
      <c r="AI80" s="253"/>
      <c r="AJ80" s="253"/>
      <c r="AK80" s="253"/>
      <c r="AL80" s="253"/>
      <c r="AM80" s="253"/>
      <c r="AN80" s="253"/>
      <c r="AO80" s="253"/>
      <c r="AP80" s="253"/>
      <c r="AQ80" s="253"/>
      <c r="AR80" s="253"/>
      <c r="AS80" s="253"/>
      <c r="AT80" s="253"/>
      <c r="AU80" s="253"/>
      <c r="AV80" s="59"/>
    </row>
    <row r="81" spans="1:48" ht="19.5" customHeight="1" x14ac:dyDescent="0.35">
      <c r="A81" s="269" t="s">
        <v>685</v>
      </c>
      <c r="B81" s="270" t="s">
        <v>686</v>
      </c>
      <c r="C81" s="270" t="s">
        <v>687</v>
      </c>
      <c r="D81" s="270" t="s">
        <v>688</v>
      </c>
      <c r="E81" s="270" t="s">
        <v>689</v>
      </c>
      <c r="F81" s="270" t="s">
        <v>690</v>
      </c>
      <c r="G81" s="271"/>
      <c r="H81" s="264"/>
      <c r="I81" s="83">
        <v>66</v>
      </c>
      <c r="J81" s="255" t="str">
        <f>IF(I81&lt;=MAX(Forest_data[Age]),I81,"")</f>
        <v/>
      </c>
      <c r="K81" s="256" t="str">
        <f>IF(ISNUMBER(J81),LOOKUP(J81, Forest_data[[#All],[Age]],Forest_data[[#All],[Number of trees per ha]]),"")</f>
        <v/>
      </c>
      <c r="L81" s="257" t="str">
        <f>IF(ISNUMBER(J81),IF(ISNA(VLOOKUP(J81,Forest_data[#All],3,FALSE)),#N/A, VLOOKUP(J81,Forest_data[#All],3,FALSE)),"")</f>
        <v/>
      </c>
      <c r="M81" s="257" t="str">
        <f>IF(ISNUMBER(J81),IF(ISNA(VLOOKUP(J81,Forest_data[#All],4,FALSE)),#N/A, VLOOKUP(J81,Forest_data[#All],4,FALSE)),"")</f>
        <v/>
      </c>
      <c r="N81" s="257" t="str">
        <f>IF(ISNUMBER(J81),IF(ISNA(VLOOKUP(J81,Forest_data[#All],5,FALSE)),#N/A, VLOOKUP(J81,Forest_data[#All],5,FALSE)),"")</f>
        <v/>
      </c>
      <c r="O81" s="257" t="str">
        <f>IF(ISNUMBER(J81),IF(ISNA(VLOOKUP(J81,Forest_data[#All],6,FALSE)),#N/A, VLOOKUP(J81,Forest_data[#All],6,FALSE)),"")</f>
        <v/>
      </c>
      <c r="P81" s="257" t="str">
        <f t="shared" si="5"/>
        <v/>
      </c>
      <c r="Q81" s="257" t="str">
        <f t="shared" si="8"/>
        <v/>
      </c>
      <c r="R81" s="257" t="str">
        <f t="shared" ref="R81:R144" si="13">IF(ISNUMBER(J81),IF($B$88*POWER(J81,2)+$C$88*J81+$D$88&lt;0,M81,$B$88*POWER(J81,2)+$C$88*J81+$D$88),"")</f>
        <v/>
      </c>
      <c r="S81" s="283" t="str">
        <f t="shared" si="9"/>
        <v/>
      </c>
      <c r="T81" s="258" t="str">
        <f t="shared" si="10"/>
        <v/>
      </c>
      <c r="U81" s="257" t="str">
        <f t="shared" si="11"/>
        <v/>
      </c>
      <c r="V81" s="257" t="str">
        <f t="shared" ref="V81:V144" si="14">IF(ISNUMBER(J81),IF(+$B$89*POWER(J81,3)+$C$89*POWER(J81,2)+$D$89*POWER(J81,1)+$E$89&lt;0,M81,+$B$89*POWER(J81,3)+$C$89*POWER(J81,2)+$D$89*POWER(J81,1)+$E$89),"")</f>
        <v/>
      </c>
      <c r="W81" s="283" t="str">
        <f t="shared" si="12"/>
        <v/>
      </c>
      <c r="X81" s="253"/>
      <c r="Y81" s="253"/>
      <c r="Z81" s="253"/>
      <c r="AA81" s="253"/>
      <c r="AB81" s="253"/>
      <c r="AC81" s="253"/>
      <c r="AD81" s="253"/>
      <c r="AE81" s="253"/>
      <c r="AF81" s="253"/>
      <c r="AG81" s="253"/>
      <c r="AH81" s="253"/>
      <c r="AI81" s="253"/>
      <c r="AJ81" s="253"/>
      <c r="AK81" s="253"/>
      <c r="AL81" s="253"/>
      <c r="AM81" s="253"/>
      <c r="AN81" s="253"/>
      <c r="AO81" s="253"/>
      <c r="AP81" s="253"/>
      <c r="AQ81" s="253"/>
      <c r="AR81" s="253"/>
      <c r="AS81" s="253"/>
      <c r="AT81" s="253"/>
      <c r="AU81" s="253"/>
      <c r="AV81" s="59"/>
    </row>
    <row r="82" spans="1:48" ht="19.5" customHeight="1" x14ac:dyDescent="0.35">
      <c r="A82" s="61" t="s">
        <v>691</v>
      </c>
      <c r="B82" s="272">
        <f t="array" ref="B82:D82">LINEST(Forest_data[Height (m)],Forest_data[Age]^{1,2})</f>
        <v>3.8251399831939841E-4</v>
      </c>
      <c r="C82" s="272">
        <v>0.40620308260726407</v>
      </c>
      <c r="D82" s="273">
        <v>4.1372346669323434</v>
      </c>
      <c r="E82" s="272"/>
      <c r="F82" s="272"/>
      <c r="G82" s="274"/>
      <c r="H82" s="264"/>
      <c r="I82" s="260">
        <v>67</v>
      </c>
      <c r="J82" s="255" t="str">
        <f>IF(I82&lt;=MAX(Forest_data[Age]),I82,"")</f>
        <v/>
      </c>
      <c r="K82" s="256" t="str">
        <f>IF(ISNUMBER(J82),LOOKUP(J82, Forest_data[[#All],[Age]],Forest_data[[#All],[Number of trees per ha]]),"")</f>
        <v/>
      </c>
      <c r="L82" s="257" t="str">
        <f>IF(ISNUMBER(J82),IF(ISNA(VLOOKUP(J82,Forest_data[#All],3,FALSE)),#N/A, VLOOKUP(J82,Forest_data[#All],3,FALSE)),"")</f>
        <v/>
      </c>
      <c r="M82" s="257" t="str">
        <f>IF(ISNUMBER(J82),IF(ISNA(VLOOKUP(J82,Forest_data[#All],4,FALSE)),#N/A, VLOOKUP(J82,Forest_data[#All],4,FALSE)),"")</f>
        <v/>
      </c>
      <c r="N82" s="257" t="str">
        <f>IF(ISNUMBER(J82),IF(ISNA(VLOOKUP(J82,Forest_data[#All],5,FALSE)),#N/A, VLOOKUP(J82,Forest_data[#All],5,FALSE)),"")</f>
        <v/>
      </c>
      <c r="O82" s="257" t="str">
        <f>IF(ISNUMBER(J82),IF(ISNA(VLOOKUP(J82,Forest_data[#All],6,FALSE)),#N/A, VLOOKUP(J82,Forest_data[#All],6,FALSE)),"")</f>
        <v/>
      </c>
      <c r="P82" s="257" t="str">
        <f t="shared" ref="P82:P145" si="15">IF(ISNUMBER(J82),IF($B$82*POWER(J82,2)+$C$82*J82+$D$82&lt;0,L82,$B$82*POWER(J82,2)+$C$82*J82+$D$82),"")</f>
        <v/>
      </c>
      <c r="Q82" s="257" t="str">
        <f t="shared" si="8"/>
        <v/>
      </c>
      <c r="R82" s="257" t="str">
        <f t="shared" si="13"/>
        <v/>
      </c>
      <c r="S82" s="283" t="str">
        <f t="shared" si="9"/>
        <v/>
      </c>
      <c r="T82" s="258" t="str">
        <f t="shared" si="10"/>
        <v/>
      </c>
      <c r="U82" s="257" t="str">
        <f t="shared" si="11"/>
        <v/>
      </c>
      <c r="V82" s="257" t="str">
        <f t="shared" si="14"/>
        <v/>
      </c>
      <c r="W82" s="283" t="str">
        <f t="shared" si="12"/>
        <v/>
      </c>
      <c r="X82" s="253"/>
      <c r="Y82" s="253"/>
      <c r="Z82" s="253"/>
      <c r="AA82" s="253"/>
      <c r="AB82" s="253"/>
      <c r="AC82" s="253"/>
      <c r="AD82" s="253"/>
      <c r="AE82" s="253"/>
      <c r="AF82" s="253"/>
      <c r="AG82" s="253"/>
      <c r="AH82" s="253"/>
      <c r="AI82" s="253"/>
      <c r="AJ82" s="253"/>
      <c r="AK82" s="253"/>
      <c r="AL82" s="253"/>
      <c r="AM82" s="253"/>
      <c r="AN82" s="253"/>
      <c r="AO82" s="253"/>
      <c r="AP82" s="253"/>
      <c r="AQ82" s="253"/>
      <c r="AR82" s="253"/>
      <c r="AS82" s="253"/>
      <c r="AT82" s="253"/>
      <c r="AU82" s="253"/>
      <c r="AV82" s="59"/>
    </row>
    <row r="83" spans="1:48" ht="19.5" customHeight="1" x14ac:dyDescent="0.35">
      <c r="A83" s="61" t="s">
        <v>692</v>
      </c>
      <c r="B83" s="272">
        <f t="array" ref="B83:E83">LINEST(Forest_data[Height (m)],Forest_data[Age]^{1,2,3})</f>
        <v>-1.1429998841311548E-2</v>
      </c>
      <c r="C83" s="272">
        <v>0.27502839709573612</v>
      </c>
      <c r="D83" s="272">
        <v>-1.2885975563050629</v>
      </c>
      <c r="E83" s="273">
        <v>6.0207881916618646</v>
      </c>
      <c r="F83" s="272"/>
      <c r="G83" s="274"/>
      <c r="H83" s="264"/>
      <c r="I83" s="83">
        <v>68</v>
      </c>
      <c r="J83" s="255" t="str">
        <f>IF(I83&lt;=MAX(Forest_data[Age]),I83,"")</f>
        <v/>
      </c>
      <c r="K83" s="256" t="str">
        <f>IF(ISNUMBER(J83),LOOKUP(J83, Forest_data[[#All],[Age]],Forest_data[[#All],[Number of trees per ha]]),"")</f>
        <v/>
      </c>
      <c r="L83" s="257" t="str">
        <f>IF(ISNUMBER(J83),IF(ISNA(VLOOKUP(J83,Forest_data[#All],3,FALSE)),#N/A, VLOOKUP(J83,Forest_data[#All],3,FALSE)),"")</f>
        <v/>
      </c>
      <c r="M83" s="257" t="str">
        <f>IF(ISNUMBER(J83),IF(ISNA(VLOOKUP(J83,Forest_data[#All],4,FALSE)),#N/A, VLOOKUP(J83,Forest_data[#All],4,FALSE)),"")</f>
        <v/>
      </c>
      <c r="N83" s="257" t="str">
        <f>IF(ISNUMBER(J83),IF(ISNA(VLOOKUP(J83,Forest_data[#All],5,FALSE)),#N/A, VLOOKUP(J83,Forest_data[#All],5,FALSE)),"")</f>
        <v/>
      </c>
      <c r="O83" s="257" t="str">
        <f>IF(ISNUMBER(J83),IF(ISNA(VLOOKUP(J83,Forest_data[#All],6,FALSE)),#N/A, VLOOKUP(J83,Forest_data[#All],6,FALSE)),"")</f>
        <v/>
      </c>
      <c r="P83" s="257" t="str">
        <f t="shared" si="15"/>
        <v/>
      </c>
      <c r="Q83" s="257" t="str">
        <f t="shared" si="8"/>
        <v/>
      </c>
      <c r="R83" s="257" t="str">
        <f t="shared" si="13"/>
        <v/>
      </c>
      <c r="S83" s="283" t="str">
        <f t="shared" si="9"/>
        <v/>
      </c>
      <c r="T83" s="258" t="str">
        <f t="shared" si="10"/>
        <v/>
      </c>
      <c r="U83" s="257" t="str">
        <f t="shared" si="11"/>
        <v/>
      </c>
      <c r="V83" s="257" t="str">
        <f t="shared" si="14"/>
        <v/>
      </c>
      <c r="W83" s="283" t="str">
        <f t="shared" si="12"/>
        <v/>
      </c>
      <c r="X83" s="253"/>
      <c r="Y83" s="253"/>
      <c r="Z83" s="253"/>
      <c r="AA83" s="253"/>
      <c r="AB83" s="253"/>
      <c r="AC83" s="253"/>
      <c r="AD83" s="253"/>
      <c r="AE83" s="253"/>
      <c r="AF83" s="253"/>
      <c r="AG83" s="253"/>
      <c r="AH83" s="253"/>
      <c r="AI83" s="253"/>
      <c r="AJ83" s="253"/>
      <c r="AK83" s="253"/>
      <c r="AL83" s="253"/>
      <c r="AM83" s="253"/>
      <c r="AN83" s="253"/>
      <c r="AO83" s="253"/>
      <c r="AP83" s="253"/>
      <c r="AQ83" s="253"/>
      <c r="AR83" s="253"/>
      <c r="AS83" s="253"/>
      <c r="AT83" s="253"/>
      <c r="AU83" s="253"/>
      <c r="AV83" s="59"/>
    </row>
    <row r="84" spans="1:48" ht="19.5" customHeight="1" x14ac:dyDescent="0.35">
      <c r="A84" s="269" t="s">
        <v>693</v>
      </c>
      <c r="B84" s="270" t="s">
        <v>686</v>
      </c>
      <c r="C84" s="270" t="s">
        <v>687</v>
      </c>
      <c r="D84" s="270" t="s">
        <v>688</v>
      </c>
      <c r="E84" s="270" t="s">
        <v>689</v>
      </c>
      <c r="F84" s="270" t="s">
        <v>690</v>
      </c>
      <c r="G84" s="274"/>
      <c r="H84" s="264"/>
      <c r="I84" s="83">
        <v>69</v>
      </c>
      <c r="J84" s="255" t="str">
        <f>IF(I84&lt;=MAX(Forest_data[Age]),I84,"")</f>
        <v/>
      </c>
      <c r="K84" s="256" t="str">
        <f>IF(ISNUMBER(J84),LOOKUP(J84, Forest_data[[#All],[Age]],Forest_data[[#All],[Number of trees per ha]]),"")</f>
        <v/>
      </c>
      <c r="L84" s="257" t="str">
        <f>IF(ISNUMBER(J84),IF(ISNA(VLOOKUP(J84,Forest_data[#All],3,FALSE)),#N/A, VLOOKUP(J84,Forest_data[#All],3,FALSE)),"")</f>
        <v/>
      </c>
      <c r="M84" s="257" t="str">
        <f>IF(ISNUMBER(J84),IF(ISNA(VLOOKUP(J84,Forest_data[#All],4,FALSE)),#N/A, VLOOKUP(J84,Forest_data[#All],4,FALSE)),"")</f>
        <v/>
      </c>
      <c r="N84" s="257" t="str">
        <f>IF(ISNUMBER(J84),IF(ISNA(VLOOKUP(J84,Forest_data[#All],5,FALSE)),#N/A, VLOOKUP(J84,Forest_data[#All],5,FALSE)),"")</f>
        <v/>
      </c>
      <c r="O84" s="257" t="str">
        <f>IF(ISNUMBER(J84),IF(ISNA(VLOOKUP(J84,Forest_data[#All],6,FALSE)),#N/A, VLOOKUP(J84,Forest_data[#All],6,FALSE)),"")</f>
        <v/>
      </c>
      <c r="P84" s="257" t="str">
        <f t="shared" si="15"/>
        <v/>
      </c>
      <c r="Q84" s="257" t="str">
        <f t="shared" si="8"/>
        <v/>
      </c>
      <c r="R84" s="257" t="str">
        <f t="shared" si="13"/>
        <v/>
      </c>
      <c r="S84" s="283" t="str">
        <f t="shared" si="9"/>
        <v/>
      </c>
      <c r="T84" s="258" t="str">
        <f t="shared" si="10"/>
        <v/>
      </c>
      <c r="U84" s="257" t="str">
        <f t="shared" si="11"/>
        <v/>
      </c>
      <c r="V84" s="257" t="str">
        <f t="shared" si="14"/>
        <v/>
      </c>
      <c r="W84" s="283" t="str">
        <f t="shared" si="12"/>
        <v/>
      </c>
      <c r="X84" s="253"/>
      <c r="Y84" s="253"/>
      <c r="Z84" s="253"/>
      <c r="AA84" s="253"/>
      <c r="AB84" s="253"/>
      <c r="AC84" s="253"/>
      <c r="AD84" s="253"/>
      <c r="AE84" s="253"/>
      <c r="AF84" s="253"/>
      <c r="AG84" s="253"/>
      <c r="AH84" s="253"/>
      <c r="AI84" s="253"/>
      <c r="AJ84" s="253"/>
      <c r="AK84" s="253"/>
      <c r="AL84" s="253"/>
      <c r="AM84" s="253"/>
      <c r="AN84" s="253"/>
      <c r="AO84" s="253"/>
      <c r="AP84" s="253"/>
      <c r="AQ84" s="253"/>
      <c r="AR84" s="253"/>
      <c r="AS84" s="253"/>
      <c r="AT84" s="253"/>
      <c r="AU84" s="253"/>
      <c r="AV84" s="59"/>
    </row>
    <row r="85" spans="1:48" ht="19.5" customHeight="1" x14ac:dyDescent="0.35">
      <c r="A85" s="61" t="s">
        <v>691</v>
      </c>
      <c r="B85" s="272">
        <f t="array" ref="B85:D85">LINEST(Forest_data[Mean diameter at breast height (DBH) (cm)],Forest_data[Age]^{1,2})</f>
        <v>-4.5010416459936108E-2</v>
      </c>
      <c r="C85" s="272">
        <v>3.5012681864246421E-2</v>
      </c>
      <c r="D85" s="273">
        <v>21.04830251288012</v>
      </c>
      <c r="E85" s="272"/>
      <c r="F85" s="272"/>
      <c r="G85" s="274"/>
      <c r="H85" s="264"/>
      <c r="I85" s="83">
        <v>70</v>
      </c>
      <c r="J85" s="255" t="str">
        <f>IF(I85&lt;=MAX(Forest_data[Age]),I85,"")</f>
        <v/>
      </c>
      <c r="K85" s="256" t="str">
        <f>IF(ISNUMBER(J85),LOOKUP(J85, Forest_data[[#All],[Age]],Forest_data[[#All],[Number of trees per ha]]),"")</f>
        <v/>
      </c>
      <c r="L85" s="257" t="str">
        <f>IF(ISNUMBER(J85),IF(ISNA(VLOOKUP(J85,Forest_data[#All],3,FALSE)),#N/A, VLOOKUP(J85,Forest_data[#All],3,FALSE)),"")</f>
        <v/>
      </c>
      <c r="M85" s="257" t="str">
        <f>IF(ISNUMBER(J85),IF(ISNA(VLOOKUP(J85,Forest_data[#All],4,FALSE)),#N/A, VLOOKUP(J85,Forest_data[#All],4,FALSE)),"")</f>
        <v/>
      </c>
      <c r="N85" s="257" t="str">
        <f>IF(ISNUMBER(J85),IF(ISNA(VLOOKUP(J85,Forest_data[#All],5,FALSE)),#N/A, VLOOKUP(J85,Forest_data[#All],5,FALSE)),"")</f>
        <v/>
      </c>
      <c r="O85" s="257" t="str">
        <f>IF(ISNUMBER(J85),IF(ISNA(VLOOKUP(J85,Forest_data[#All],6,FALSE)),#N/A, VLOOKUP(J85,Forest_data[#All],6,FALSE)),"")</f>
        <v/>
      </c>
      <c r="P85" s="257" t="str">
        <f t="shared" si="15"/>
        <v/>
      </c>
      <c r="Q85" s="257" t="str">
        <f t="shared" si="8"/>
        <v/>
      </c>
      <c r="R85" s="257" t="str">
        <f t="shared" si="13"/>
        <v/>
      </c>
      <c r="S85" s="283" t="str">
        <f t="shared" si="9"/>
        <v/>
      </c>
      <c r="T85" s="258" t="str">
        <f t="shared" si="10"/>
        <v/>
      </c>
      <c r="U85" s="257" t="str">
        <f t="shared" si="11"/>
        <v/>
      </c>
      <c r="V85" s="257" t="str">
        <f t="shared" si="14"/>
        <v/>
      </c>
      <c r="W85" s="283" t="str">
        <f t="shared" si="12"/>
        <v/>
      </c>
      <c r="X85" s="253"/>
      <c r="Y85" s="253"/>
      <c r="Z85" s="253"/>
      <c r="AA85" s="253"/>
      <c r="AB85" s="253"/>
      <c r="AC85" s="253"/>
      <c r="AD85" s="253"/>
      <c r="AE85" s="253"/>
      <c r="AF85" s="253"/>
      <c r="AG85" s="253"/>
      <c r="AH85" s="253"/>
      <c r="AI85" s="253"/>
      <c r="AJ85" s="253"/>
      <c r="AK85" s="253"/>
      <c r="AL85" s="253"/>
      <c r="AM85" s="253"/>
      <c r="AN85" s="253"/>
      <c r="AO85" s="253"/>
      <c r="AP85" s="253"/>
      <c r="AQ85" s="253"/>
      <c r="AR85" s="253"/>
      <c r="AS85" s="253"/>
      <c r="AT85" s="253"/>
      <c r="AU85" s="253"/>
      <c r="AV85" s="59"/>
    </row>
    <row r="86" spans="1:48" ht="19.5" customHeight="1" x14ac:dyDescent="0.35">
      <c r="A86" s="61" t="s">
        <v>692</v>
      </c>
      <c r="B86" s="272">
        <f t="array" ref="B86:E86">LINEST(Forest_data[Mean diameter at breast height (DBH) (cm)],Forest_data[Age]^{1,2,3})</f>
        <v>3.1933120719547986E-2</v>
      </c>
      <c r="C86" s="272">
        <v>-0.81231584333173057</v>
      </c>
      <c r="D86" s="272">
        <v>4.7699452176705499</v>
      </c>
      <c r="E86" s="273">
        <v>15.786032330531086</v>
      </c>
      <c r="F86" s="272"/>
      <c r="G86" s="274"/>
      <c r="H86" s="264"/>
      <c r="I86" s="260">
        <v>71</v>
      </c>
      <c r="J86" s="255" t="str">
        <f>IF(I86&lt;=MAX(Forest_data[Age]),I86,"")</f>
        <v/>
      </c>
      <c r="K86" s="256" t="str">
        <f>IF(ISNUMBER(J86),LOOKUP(J86, Forest_data[[#All],[Age]],Forest_data[[#All],[Number of trees per ha]]),"")</f>
        <v/>
      </c>
      <c r="L86" s="257" t="str">
        <f>IF(ISNUMBER(J86),IF(ISNA(VLOOKUP(J86,Forest_data[#All],3,FALSE)),#N/A, VLOOKUP(J86,Forest_data[#All],3,FALSE)),"")</f>
        <v/>
      </c>
      <c r="M86" s="257" t="str">
        <f>IF(ISNUMBER(J86),IF(ISNA(VLOOKUP(J86,Forest_data[#All],4,FALSE)),#N/A, VLOOKUP(J86,Forest_data[#All],4,FALSE)),"")</f>
        <v/>
      </c>
      <c r="N86" s="257" t="str">
        <f>IF(ISNUMBER(J86),IF(ISNA(VLOOKUP(J86,Forest_data[#All],5,FALSE)),#N/A, VLOOKUP(J86,Forest_data[#All],5,FALSE)),"")</f>
        <v/>
      </c>
      <c r="O86" s="257" t="str">
        <f>IF(ISNUMBER(J86),IF(ISNA(VLOOKUP(J86,Forest_data[#All],6,FALSE)),#N/A, VLOOKUP(J86,Forest_data[#All],6,FALSE)),"")</f>
        <v/>
      </c>
      <c r="P86" s="257" t="str">
        <f t="shared" si="15"/>
        <v/>
      </c>
      <c r="Q86" s="257" t="str">
        <f t="shared" si="8"/>
        <v/>
      </c>
      <c r="R86" s="257" t="str">
        <f t="shared" si="13"/>
        <v/>
      </c>
      <c r="S86" s="283" t="str">
        <f t="shared" si="9"/>
        <v/>
      </c>
      <c r="T86" s="258" t="str">
        <f t="shared" si="10"/>
        <v/>
      </c>
      <c r="U86" s="257" t="str">
        <f t="shared" si="11"/>
        <v/>
      </c>
      <c r="V86" s="257" t="str">
        <f t="shared" si="14"/>
        <v/>
      </c>
      <c r="W86" s="283" t="str">
        <f t="shared" si="12"/>
        <v/>
      </c>
      <c r="X86" s="253"/>
      <c r="Y86" s="253"/>
      <c r="Z86" s="253"/>
      <c r="AA86" s="253"/>
      <c r="AB86" s="253"/>
      <c r="AC86" s="253"/>
      <c r="AD86" s="253"/>
      <c r="AE86" s="253"/>
      <c r="AF86" s="253"/>
      <c r="AG86" s="253"/>
      <c r="AH86" s="253"/>
      <c r="AI86" s="253"/>
      <c r="AJ86" s="253"/>
      <c r="AK86" s="253"/>
      <c r="AL86" s="253"/>
      <c r="AM86" s="253"/>
      <c r="AN86" s="253"/>
      <c r="AO86" s="253"/>
      <c r="AP86" s="253"/>
      <c r="AQ86" s="253"/>
      <c r="AR86" s="253"/>
      <c r="AS86" s="253"/>
      <c r="AT86" s="253"/>
      <c r="AU86" s="253"/>
      <c r="AV86" s="59"/>
    </row>
    <row r="87" spans="1:48" ht="19.5" customHeight="1" x14ac:dyDescent="0.35">
      <c r="A87" s="269" t="s">
        <v>694</v>
      </c>
      <c r="B87" s="270" t="s">
        <v>686</v>
      </c>
      <c r="C87" s="270" t="s">
        <v>687</v>
      </c>
      <c r="D87" s="270" t="s">
        <v>688</v>
      </c>
      <c r="E87" s="270" t="s">
        <v>689</v>
      </c>
      <c r="F87" s="270" t="s">
        <v>690</v>
      </c>
      <c r="G87" s="274"/>
      <c r="H87" s="264"/>
      <c r="I87" s="83">
        <v>72</v>
      </c>
      <c r="J87" s="255" t="str">
        <f>IF(I87&lt;=MAX(Forest_data[Age]),I87,"")</f>
        <v/>
      </c>
      <c r="K87" s="256" t="str">
        <f>IF(ISNUMBER(J87),LOOKUP(J87, Forest_data[[#All],[Age]],Forest_data[[#All],[Number of trees per ha]]),"")</f>
        <v/>
      </c>
      <c r="L87" s="257" t="str">
        <f>IF(ISNUMBER(J87),IF(ISNA(VLOOKUP(J87,Forest_data[#All],3,FALSE)),#N/A, VLOOKUP(J87,Forest_data[#All],3,FALSE)),"")</f>
        <v/>
      </c>
      <c r="M87" s="257" t="str">
        <f>IF(ISNUMBER(J87),IF(ISNA(VLOOKUP(J87,Forest_data[#All],4,FALSE)),#N/A, VLOOKUP(J87,Forest_data[#All],4,FALSE)),"")</f>
        <v/>
      </c>
      <c r="N87" s="257" t="str">
        <f>IF(ISNUMBER(J87),IF(ISNA(VLOOKUP(J87,Forest_data[#All],5,FALSE)),#N/A, VLOOKUP(J87,Forest_data[#All],5,FALSE)),"")</f>
        <v/>
      </c>
      <c r="O87" s="257" t="str">
        <f>IF(ISNUMBER(J87),IF(ISNA(VLOOKUP(J87,Forest_data[#All],6,FALSE)),#N/A, VLOOKUP(J87,Forest_data[#All],6,FALSE)),"")</f>
        <v/>
      </c>
      <c r="P87" s="257" t="str">
        <f t="shared" si="15"/>
        <v/>
      </c>
      <c r="Q87" s="257" t="str">
        <f t="shared" si="8"/>
        <v/>
      </c>
      <c r="R87" s="257" t="str">
        <f t="shared" si="13"/>
        <v/>
      </c>
      <c r="S87" s="283" t="str">
        <f t="shared" si="9"/>
        <v/>
      </c>
      <c r="T87" s="258" t="str">
        <f t="shared" si="10"/>
        <v/>
      </c>
      <c r="U87" s="257" t="str">
        <f t="shared" si="11"/>
        <v/>
      </c>
      <c r="V87" s="257" t="str">
        <f t="shared" si="14"/>
        <v/>
      </c>
      <c r="W87" s="283" t="str">
        <f t="shared" si="12"/>
        <v/>
      </c>
      <c r="X87" s="253"/>
      <c r="Y87" s="253"/>
      <c r="Z87" s="253"/>
      <c r="AA87" s="253"/>
      <c r="AB87" s="253"/>
      <c r="AC87" s="253"/>
      <c r="AD87" s="253"/>
      <c r="AE87" s="253"/>
      <c r="AF87" s="253"/>
      <c r="AG87" s="253"/>
      <c r="AH87" s="253"/>
      <c r="AI87" s="253"/>
      <c r="AJ87" s="253"/>
      <c r="AK87" s="253"/>
      <c r="AL87" s="253"/>
      <c r="AM87" s="253"/>
      <c r="AN87" s="253"/>
      <c r="AO87" s="253"/>
      <c r="AP87" s="253"/>
      <c r="AQ87" s="253"/>
      <c r="AR87" s="253"/>
      <c r="AS87" s="253"/>
      <c r="AT87" s="253"/>
      <c r="AU87" s="253"/>
      <c r="AV87" s="59"/>
    </row>
    <row r="88" spans="1:48" ht="19.5" customHeight="1" x14ac:dyDescent="0.35">
      <c r="A88" s="61" t="s">
        <v>691</v>
      </c>
      <c r="B88" s="272">
        <f t="array" ref="B88:D88">LINEST(Forest_data[Basal area (m²/ha)],Forest_data[Age]^{1,2})</f>
        <v>-3.0625537677434152E-2</v>
      </c>
      <c r="C88" s="272">
        <v>-4.8212543467469331E-2</v>
      </c>
      <c r="D88" s="273">
        <v>10.394054319150495</v>
      </c>
      <c r="E88" s="272"/>
      <c r="F88" s="272"/>
      <c r="G88" s="274"/>
      <c r="H88" s="264"/>
      <c r="I88" s="83">
        <v>73</v>
      </c>
      <c r="J88" s="255" t="str">
        <f>IF(I88&lt;=MAX(Forest_data[Age]),I88,"")</f>
        <v/>
      </c>
      <c r="K88" s="256" t="str">
        <f>IF(ISNUMBER(J88),LOOKUP(J88, Forest_data[[#All],[Age]],Forest_data[[#All],[Number of trees per ha]]),"")</f>
        <v/>
      </c>
      <c r="L88" s="257" t="str">
        <f>IF(ISNUMBER(J88),IF(ISNA(VLOOKUP(J88,Forest_data[#All],3,FALSE)),#N/A, VLOOKUP(J88,Forest_data[#All],3,FALSE)),"")</f>
        <v/>
      </c>
      <c r="M88" s="257" t="str">
        <f>IF(ISNUMBER(J88),IF(ISNA(VLOOKUP(J88,Forest_data[#All],4,FALSE)),#N/A, VLOOKUP(J88,Forest_data[#All],4,FALSE)),"")</f>
        <v/>
      </c>
      <c r="N88" s="257" t="str">
        <f>IF(ISNUMBER(J88),IF(ISNA(VLOOKUP(J88,Forest_data[#All],5,FALSE)),#N/A, VLOOKUP(J88,Forest_data[#All],5,FALSE)),"")</f>
        <v/>
      </c>
      <c r="O88" s="257" t="str">
        <f>IF(ISNUMBER(J88),IF(ISNA(VLOOKUP(J88,Forest_data[#All],6,FALSE)),#N/A, VLOOKUP(J88,Forest_data[#All],6,FALSE)),"")</f>
        <v/>
      </c>
      <c r="P88" s="257" t="str">
        <f t="shared" si="15"/>
        <v/>
      </c>
      <c r="Q88" s="257" t="str">
        <f t="shared" si="8"/>
        <v/>
      </c>
      <c r="R88" s="257" t="str">
        <f t="shared" si="13"/>
        <v/>
      </c>
      <c r="S88" s="283" t="str">
        <f t="shared" si="9"/>
        <v/>
      </c>
      <c r="T88" s="258" t="str">
        <f t="shared" si="10"/>
        <v/>
      </c>
      <c r="U88" s="257" t="str">
        <f t="shared" si="11"/>
        <v/>
      </c>
      <c r="V88" s="257" t="str">
        <f t="shared" si="14"/>
        <v/>
      </c>
      <c r="W88" s="283" t="str">
        <f t="shared" si="12"/>
        <v/>
      </c>
      <c r="X88" s="253"/>
      <c r="Y88" s="253"/>
      <c r="Z88" s="253"/>
      <c r="AA88" s="253"/>
      <c r="AB88" s="253"/>
      <c r="AC88" s="253"/>
      <c r="AD88" s="253"/>
      <c r="AE88" s="253"/>
      <c r="AF88" s="253"/>
      <c r="AG88" s="253"/>
      <c r="AH88" s="253"/>
      <c r="AI88" s="253"/>
      <c r="AJ88" s="253"/>
      <c r="AK88" s="253"/>
      <c r="AL88" s="253"/>
      <c r="AM88" s="253"/>
      <c r="AN88" s="253"/>
      <c r="AO88" s="253"/>
      <c r="AP88" s="253"/>
      <c r="AQ88" s="253"/>
      <c r="AR88" s="253"/>
      <c r="AS88" s="253"/>
      <c r="AT88" s="253"/>
      <c r="AU88" s="253"/>
      <c r="AV88" s="59"/>
    </row>
    <row r="89" spans="1:48" ht="19.5" customHeight="1" x14ac:dyDescent="0.35">
      <c r="A89" s="61" t="s">
        <v>692</v>
      </c>
      <c r="B89" s="272">
        <f t="array" ref="B89:E89">LINEST(Forest_data[Basal area (m²/ha)],Forest_data[Age]^{1,2,3})</f>
        <v>2.7344054857404987E-2</v>
      </c>
      <c r="C89" s="272">
        <v>-0.6876625328723055</v>
      </c>
      <c r="D89" s="272">
        <v>4.0062692011226329</v>
      </c>
      <c r="E89" s="273">
        <v>5.8880179124877792</v>
      </c>
      <c r="F89" s="272"/>
      <c r="G89" s="274"/>
      <c r="H89" s="264"/>
      <c r="I89" s="83">
        <v>74</v>
      </c>
      <c r="J89" s="255" t="str">
        <f>IF(I89&lt;=MAX(Forest_data[Age]),I89,"")</f>
        <v/>
      </c>
      <c r="K89" s="256" t="str">
        <f>IF(ISNUMBER(J89),LOOKUP(J89, Forest_data[[#All],[Age]],Forest_data[[#All],[Number of trees per ha]]),"")</f>
        <v/>
      </c>
      <c r="L89" s="257" t="str">
        <f>IF(ISNUMBER(J89),IF(ISNA(VLOOKUP(J89,Forest_data[#All],3,FALSE)),#N/A, VLOOKUP(J89,Forest_data[#All],3,FALSE)),"")</f>
        <v/>
      </c>
      <c r="M89" s="257" t="str">
        <f>IF(ISNUMBER(J89),IF(ISNA(VLOOKUP(J89,Forest_data[#All],4,FALSE)),#N/A, VLOOKUP(J89,Forest_data[#All],4,FALSE)),"")</f>
        <v/>
      </c>
      <c r="N89" s="257" t="str">
        <f>IF(ISNUMBER(J89),IF(ISNA(VLOOKUP(J89,Forest_data[#All],5,FALSE)),#N/A, VLOOKUP(J89,Forest_data[#All],5,FALSE)),"")</f>
        <v/>
      </c>
      <c r="O89" s="257" t="str">
        <f>IF(ISNUMBER(J89),IF(ISNA(VLOOKUP(J89,Forest_data[#All],6,FALSE)),#N/A, VLOOKUP(J89,Forest_data[#All],6,FALSE)),"")</f>
        <v/>
      </c>
      <c r="P89" s="257" t="str">
        <f t="shared" si="15"/>
        <v/>
      </c>
      <c r="Q89" s="257" t="str">
        <f t="shared" si="8"/>
        <v/>
      </c>
      <c r="R89" s="257" t="str">
        <f t="shared" si="13"/>
        <v/>
      </c>
      <c r="S89" s="283" t="str">
        <f t="shared" si="9"/>
        <v/>
      </c>
      <c r="T89" s="258" t="str">
        <f t="shared" si="10"/>
        <v/>
      </c>
      <c r="U89" s="257" t="str">
        <f t="shared" si="11"/>
        <v/>
      </c>
      <c r="V89" s="257" t="str">
        <f t="shared" si="14"/>
        <v/>
      </c>
      <c r="W89" s="283" t="str">
        <f t="shared" si="12"/>
        <v/>
      </c>
      <c r="X89" s="253"/>
      <c r="Y89" s="253"/>
      <c r="Z89" s="253"/>
      <c r="AA89" s="253"/>
      <c r="AB89" s="253"/>
      <c r="AC89" s="253"/>
      <c r="AD89" s="253"/>
      <c r="AE89" s="253"/>
      <c r="AF89" s="253"/>
      <c r="AG89" s="253"/>
      <c r="AH89" s="253"/>
      <c r="AI89" s="253"/>
      <c r="AJ89" s="253"/>
      <c r="AK89" s="253"/>
      <c r="AL89" s="253"/>
      <c r="AM89" s="253"/>
      <c r="AN89" s="253"/>
      <c r="AO89" s="253"/>
      <c r="AP89" s="253"/>
      <c r="AQ89" s="253"/>
      <c r="AR89" s="253"/>
      <c r="AS89" s="253"/>
      <c r="AT89" s="253"/>
      <c r="AU89" s="253"/>
      <c r="AV89" s="59"/>
    </row>
    <row r="90" spans="1:48" ht="19.5" customHeight="1" x14ac:dyDescent="0.35">
      <c r="A90" s="269" t="s">
        <v>695</v>
      </c>
      <c r="B90" s="270" t="s">
        <v>686</v>
      </c>
      <c r="C90" s="270" t="s">
        <v>687</v>
      </c>
      <c r="D90" s="270" t="s">
        <v>688</v>
      </c>
      <c r="E90" s="270" t="s">
        <v>689</v>
      </c>
      <c r="F90" s="270" t="s">
        <v>690</v>
      </c>
      <c r="G90" s="274"/>
      <c r="H90" s="264"/>
      <c r="I90" s="260">
        <v>75</v>
      </c>
      <c r="J90" s="255" t="str">
        <f>IF(I90&lt;=MAX(Forest_data[Age]),I90,"")</f>
        <v/>
      </c>
      <c r="K90" s="256" t="str">
        <f>IF(ISNUMBER(J90),LOOKUP(J90, Forest_data[[#All],[Age]],Forest_data[[#All],[Number of trees per ha]]),"")</f>
        <v/>
      </c>
      <c r="L90" s="257" t="str">
        <f>IF(ISNUMBER(J90),IF(ISNA(VLOOKUP(J90,Forest_data[#All],3,FALSE)),#N/A, VLOOKUP(J90,Forest_data[#All],3,FALSE)),"")</f>
        <v/>
      </c>
      <c r="M90" s="257" t="str">
        <f>IF(ISNUMBER(J90),IF(ISNA(VLOOKUP(J90,Forest_data[#All],4,FALSE)),#N/A, VLOOKUP(J90,Forest_data[#All],4,FALSE)),"")</f>
        <v/>
      </c>
      <c r="N90" s="257" t="str">
        <f>IF(ISNUMBER(J90),IF(ISNA(VLOOKUP(J90,Forest_data[#All],5,FALSE)),#N/A, VLOOKUP(J90,Forest_data[#All],5,FALSE)),"")</f>
        <v/>
      </c>
      <c r="O90" s="257" t="str">
        <f>IF(ISNUMBER(J90),IF(ISNA(VLOOKUP(J90,Forest_data[#All],6,FALSE)),#N/A, VLOOKUP(J90,Forest_data[#All],6,FALSE)),"")</f>
        <v/>
      </c>
      <c r="P90" s="257" t="str">
        <f t="shared" si="15"/>
        <v/>
      </c>
      <c r="Q90" s="257" t="str">
        <f t="shared" si="8"/>
        <v/>
      </c>
      <c r="R90" s="257" t="str">
        <f t="shared" si="13"/>
        <v/>
      </c>
      <c r="S90" s="283" t="str">
        <f t="shared" si="9"/>
        <v/>
      </c>
      <c r="T90" s="258" t="str">
        <f t="shared" si="10"/>
        <v/>
      </c>
      <c r="U90" s="257" t="str">
        <f t="shared" si="11"/>
        <v/>
      </c>
      <c r="V90" s="257" t="str">
        <f t="shared" si="14"/>
        <v/>
      </c>
      <c r="W90" s="283" t="str">
        <f t="shared" si="12"/>
        <v/>
      </c>
      <c r="X90" s="253"/>
      <c r="Y90" s="253"/>
      <c r="Z90" s="253"/>
      <c r="AA90" s="253"/>
      <c r="AB90" s="253"/>
      <c r="AC90" s="253"/>
      <c r="AD90" s="253"/>
      <c r="AE90" s="253"/>
      <c r="AF90" s="253"/>
      <c r="AG90" s="253"/>
      <c r="AH90" s="253"/>
      <c r="AI90" s="253"/>
      <c r="AJ90" s="253"/>
      <c r="AK90" s="253"/>
      <c r="AL90" s="253"/>
      <c r="AM90" s="253"/>
      <c r="AN90" s="253"/>
      <c r="AO90" s="253"/>
      <c r="AP90" s="253"/>
      <c r="AQ90" s="253"/>
      <c r="AR90" s="253"/>
      <c r="AS90" s="253"/>
      <c r="AT90" s="253"/>
      <c r="AU90" s="253"/>
      <c r="AV90" s="59"/>
    </row>
    <row r="91" spans="1:48" ht="19.5" customHeight="1" x14ac:dyDescent="0.35">
      <c r="A91" s="61" t="s">
        <v>691</v>
      </c>
      <c r="B91" s="272">
        <f t="array" ref="B91:D91">LINEST(Forest_data[Standing volume (m³/ha)],Forest_data[Age]^{1,2})</f>
        <v>-0.14057717010642121</v>
      </c>
      <c r="C91" s="272">
        <v>1.6524683492680785</v>
      </c>
      <c r="D91" s="273">
        <v>23.142480376702096</v>
      </c>
      <c r="E91" s="272"/>
      <c r="F91" s="272"/>
      <c r="G91" s="274"/>
      <c r="H91" s="264"/>
      <c r="I91" s="83">
        <v>76</v>
      </c>
      <c r="J91" s="255" t="str">
        <f>IF(I91&lt;=MAX(Forest_data[Age]),I91,"")</f>
        <v/>
      </c>
      <c r="K91" s="256" t="str">
        <f>IF(ISNUMBER(J91),LOOKUP(J91, Forest_data[[#All],[Age]],Forest_data[[#All],[Number of trees per ha]]),"")</f>
        <v/>
      </c>
      <c r="L91" s="257" t="str">
        <f>IF(ISNUMBER(J91),IF(ISNA(VLOOKUP(J91,Forest_data[#All],3,FALSE)),#N/A, VLOOKUP(J91,Forest_data[#All],3,FALSE)),"")</f>
        <v/>
      </c>
      <c r="M91" s="257" t="str">
        <f>IF(ISNUMBER(J91),IF(ISNA(VLOOKUP(J91,Forest_data[#All],4,FALSE)),#N/A, VLOOKUP(J91,Forest_data[#All],4,FALSE)),"")</f>
        <v/>
      </c>
      <c r="N91" s="257" t="str">
        <f>IF(ISNUMBER(J91),IF(ISNA(VLOOKUP(J91,Forest_data[#All],5,FALSE)),#N/A, VLOOKUP(J91,Forest_data[#All],5,FALSE)),"")</f>
        <v/>
      </c>
      <c r="O91" s="257" t="str">
        <f>IF(ISNUMBER(J91),IF(ISNA(VLOOKUP(J91,Forest_data[#All],6,FALSE)),#N/A, VLOOKUP(J91,Forest_data[#All],6,FALSE)),"")</f>
        <v/>
      </c>
      <c r="P91" s="257" t="str">
        <f t="shared" si="15"/>
        <v/>
      </c>
      <c r="Q91" s="257" t="str">
        <f t="shared" si="8"/>
        <v/>
      </c>
      <c r="R91" s="257" t="str">
        <f t="shared" si="13"/>
        <v/>
      </c>
      <c r="S91" s="283" t="str">
        <f t="shared" si="9"/>
        <v/>
      </c>
      <c r="T91" s="258" t="str">
        <f t="shared" si="10"/>
        <v/>
      </c>
      <c r="U91" s="257" t="str">
        <f t="shared" si="11"/>
        <v/>
      </c>
      <c r="V91" s="257" t="str">
        <f t="shared" si="14"/>
        <v/>
      </c>
      <c r="W91" s="283" t="str">
        <f t="shared" si="12"/>
        <v/>
      </c>
      <c r="X91" s="253"/>
      <c r="Y91" s="253"/>
      <c r="Z91" s="253"/>
      <c r="AA91" s="253"/>
      <c r="AB91" s="253"/>
      <c r="AC91" s="253"/>
      <c r="AD91" s="253"/>
      <c r="AE91" s="253"/>
      <c r="AF91" s="253"/>
      <c r="AG91" s="253"/>
      <c r="AH91" s="253"/>
      <c r="AI91" s="253"/>
      <c r="AJ91" s="253"/>
      <c r="AK91" s="253"/>
      <c r="AL91" s="253"/>
      <c r="AM91" s="253"/>
      <c r="AN91" s="253"/>
      <c r="AO91" s="253"/>
      <c r="AP91" s="253"/>
      <c r="AQ91" s="253"/>
      <c r="AR91" s="253"/>
      <c r="AS91" s="253"/>
      <c r="AT91" s="253"/>
      <c r="AU91" s="253"/>
      <c r="AV91" s="59"/>
    </row>
    <row r="92" spans="1:48" ht="19.5" customHeight="1" x14ac:dyDescent="0.35">
      <c r="A92" s="61" t="s">
        <v>692</v>
      </c>
      <c r="B92" s="272">
        <f t="array" ref="B92:E92">LINEST(Forest_data[Standing volume (m³/ha)],Forest_data[Age]^{1,2,3})</f>
        <v>5.1312547978045089E-2</v>
      </c>
      <c r="C92" s="272">
        <v>-1.3735414292516708</v>
      </c>
      <c r="D92" s="272">
        <v>9.2609152358148616</v>
      </c>
      <c r="E92" s="273">
        <v>14.686667567904891</v>
      </c>
      <c r="F92" s="272"/>
      <c r="G92" s="274"/>
      <c r="H92" s="264"/>
      <c r="I92" s="83">
        <v>77</v>
      </c>
      <c r="J92" s="255" t="str">
        <f>IF(I92&lt;=MAX(Forest_data[Age]),I92,"")</f>
        <v/>
      </c>
      <c r="K92" s="256" t="str">
        <f>IF(ISNUMBER(J92),LOOKUP(J92, Forest_data[[#All],[Age]],Forest_data[[#All],[Number of trees per ha]]),"")</f>
        <v/>
      </c>
      <c r="L92" s="257" t="str">
        <f>IF(ISNUMBER(J92),IF(ISNA(VLOOKUP(J92,Forest_data[#All],3,FALSE)),#N/A, VLOOKUP(J92,Forest_data[#All],3,FALSE)),"")</f>
        <v/>
      </c>
      <c r="M92" s="257" t="str">
        <f>IF(ISNUMBER(J92),IF(ISNA(VLOOKUP(J92,Forest_data[#All],4,FALSE)),#N/A, VLOOKUP(J92,Forest_data[#All],4,FALSE)),"")</f>
        <v/>
      </c>
      <c r="N92" s="257" t="str">
        <f>IF(ISNUMBER(J92),IF(ISNA(VLOOKUP(J92,Forest_data[#All],5,FALSE)),#N/A, VLOOKUP(J92,Forest_data[#All],5,FALSE)),"")</f>
        <v/>
      </c>
      <c r="O92" s="257" t="str">
        <f>IF(ISNUMBER(J92),IF(ISNA(VLOOKUP(J92,Forest_data[#All],6,FALSE)),#N/A, VLOOKUP(J92,Forest_data[#All],6,FALSE)),"")</f>
        <v/>
      </c>
      <c r="P92" s="257" t="str">
        <f t="shared" si="15"/>
        <v/>
      </c>
      <c r="Q92" s="257" t="str">
        <f t="shared" si="8"/>
        <v/>
      </c>
      <c r="R92" s="257" t="str">
        <f t="shared" si="13"/>
        <v/>
      </c>
      <c r="S92" s="283" t="str">
        <f t="shared" si="9"/>
        <v/>
      </c>
      <c r="T92" s="258" t="str">
        <f t="shared" si="10"/>
        <v/>
      </c>
      <c r="U92" s="257" t="str">
        <f t="shared" si="11"/>
        <v/>
      </c>
      <c r="V92" s="257" t="str">
        <f t="shared" si="14"/>
        <v/>
      </c>
      <c r="W92" s="283" t="str">
        <f t="shared" si="12"/>
        <v/>
      </c>
      <c r="X92" s="253"/>
      <c r="Y92" s="253"/>
      <c r="Z92" s="253"/>
      <c r="AA92" s="253"/>
      <c r="AB92" s="253"/>
      <c r="AC92" s="253"/>
      <c r="AD92" s="253"/>
      <c r="AE92" s="253"/>
      <c r="AF92" s="253"/>
      <c r="AG92" s="253"/>
      <c r="AH92" s="253"/>
      <c r="AI92" s="253"/>
      <c r="AJ92" s="253"/>
      <c r="AK92" s="253"/>
      <c r="AL92" s="253"/>
      <c r="AM92" s="253"/>
      <c r="AN92" s="253"/>
      <c r="AO92" s="253"/>
      <c r="AP92" s="253"/>
      <c r="AQ92" s="253"/>
      <c r="AR92" s="253"/>
      <c r="AS92" s="253"/>
      <c r="AT92" s="253"/>
      <c r="AU92" s="253"/>
      <c r="AV92" s="59"/>
    </row>
    <row r="93" spans="1:48" ht="19.5" customHeight="1" x14ac:dyDescent="0.35">
      <c r="A93" s="275"/>
      <c r="B93" s="274"/>
      <c r="C93" s="274"/>
      <c r="D93" s="274"/>
      <c r="E93" s="274"/>
      <c r="F93" s="274"/>
      <c r="G93" s="274"/>
      <c r="H93" s="264"/>
      <c r="I93" s="83">
        <v>78</v>
      </c>
      <c r="J93" s="255" t="str">
        <f>IF(I93&lt;=MAX(Forest_data[Age]),I93,"")</f>
        <v/>
      </c>
      <c r="K93" s="256" t="str">
        <f>IF(ISNUMBER(J93),LOOKUP(J93, Forest_data[[#All],[Age]],Forest_data[[#All],[Number of trees per ha]]),"")</f>
        <v/>
      </c>
      <c r="L93" s="257" t="str">
        <f>IF(ISNUMBER(J93),IF(ISNA(VLOOKUP(J93,Forest_data[#All],3,FALSE)),#N/A, VLOOKUP(J93,Forest_data[#All],3,FALSE)),"")</f>
        <v/>
      </c>
      <c r="M93" s="257" t="str">
        <f>IF(ISNUMBER(J93),IF(ISNA(VLOOKUP(J93,Forest_data[#All],4,FALSE)),#N/A, VLOOKUP(J93,Forest_data[#All],4,FALSE)),"")</f>
        <v/>
      </c>
      <c r="N93" s="257" t="str">
        <f>IF(ISNUMBER(J93),IF(ISNA(VLOOKUP(J93,Forest_data[#All],5,FALSE)),#N/A, VLOOKUP(J93,Forest_data[#All],5,FALSE)),"")</f>
        <v/>
      </c>
      <c r="O93" s="257" t="str">
        <f>IF(ISNUMBER(J93),IF(ISNA(VLOOKUP(J93,Forest_data[#All],6,FALSE)),#N/A, VLOOKUP(J93,Forest_data[#All],6,FALSE)),"")</f>
        <v/>
      </c>
      <c r="P93" s="257" t="str">
        <f t="shared" si="15"/>
        <v/>
      </c>
      <c r="Q93" s="257" t="str">
        <f t="shared" si="8"/>
        <v/>
      </c>
      <c r="R93" s="257" t="str">
        <f t="shared" si="13"/>
        <v/>
      </c>
      <c r="S93" s="283" t="str">
        <f t="shared" si="9"/>
        <v/>
      </c>
      <c r="T93" s="258" t="str">
        <f t="shared" si="10"/>
        <v/>
      </c>
      <c r="U93" s="257" t="str">
        <f t="shared" si="11"/>
        <v/>
      </c>
      <c r="V93" s="257" t="str">
        <f t="shared" si="14"/>
        <v/>
      </c>
      <c r="W93" s="283" t="str">
        <f t="shared" si="12"/>
        <v/>
      </c>
      <c r="X93" s="253"/>
      <c r="Y93" s="253"/>
      <c r="Z93" s="253"/>
      <c r="AA93" s="253"/>
      <c r="AB93" s="253"/>
      <c r="AC93" s="253"/>
      <c r="AD93" s="253"/>
      <c r="AE93" s="253"/>
      <c r="AF93" s="253"/>
      <c r="AG93" s="253"/>
      <c r="AH93" s="253"/>
      <c r="AI93" s="253"/>
      <c r="AJ93" s="253"/>
      <c r="AK93" s="253"/>
      <c r="AL93" s="253"/>
      <c r="AM93" s="253"/>
      <c r="AN93" s="253"/>
      <c r="AO93" s="253"/>
      <c r="AP93" s="253"/>
      <c r="AQ93" s="253"/>
      <c r="AR93" s="253"/>
      <c r="AS93" s="253"/>
      <c r="AT93" s="253"/>
      <c r="AU93" s="253"/>
      <c r="AV93" s="59"/>
    </row>
    <row r="94" spans="1:48" ht="19.5" customHeight="1" x14ac:dyDescent="0.35">
      <c r="A94" s="264"/>
      <c r="B94" s="274"/>
      <c r="C94" s="274"/>
      <c r="D94" s="274"/>
      <c r="E94" s="274"/>
      <c r="F94" s="274"/>
      <c r="G94" s="274"/>
      <c r="H94" s="264"/>
      <c r="I94" s="260">
        <v>79</v>
      </c>
      <c r="J94" s="255" t="str">
        <f>IF(I94&lt;=MAX(Forest_data[Age]),I94,"")</f>
        <v/>
      </c>
      <c r="K94" s="256" t="str">
        <f>IF(ISNUMBER(J94),LOOKUP(J94, Forest_data[[#All],[Age]],Forest_data[[#All],[Number of trees per ha]]),"")</f>
        <v/>
      </c>
      <c r="L94" s="257" t="str">
        <f>IF(ISNUMBER(J94),IF(ISNA(VLOOKUP(J94,Forest_data[#All],3,FALSE)),#N/A, VLOOKUP(J94,Forest_data[#All],3,FALSE)),"")</f>
        <v/>
      </c>
      <c r="M94" s="257" t="str">
        <f>IF(ISNUMBER(J94),IF(ISNA(VLOOKUP(J94,Forest_data[#All],4,FALSE)),#N/A, VLOOKUP(J94,Forest_data[#All],4,FALSE)),"")</f>
        <v/>
      </c>
      <c r="N94" s="257" t="str">
        <f>IF(ISNUMBER(J94),IF(ISNA(VLOOKUP(J94,Forest_data[#All],5,FALSE)),#N/A, VLOOKUP(J94,Forest_data[#All],5,FALSE)),"")</f>
        <v/>
      </c>
      <c r="O94" s="257" t="str">
        <f>IF(ISNUMBER(J94),IF(ISNA(VLOOKUP(J94,Forest_data[#All],6,FALSE)),#N/A, VLOOKUP(J94,Forest_data[#All],6,FALSE)),"")</f>
        <v/>
      </c>
      <c r="P94" s="257" t="str">
        <f t="shared" si="15"/>
        <v/>
      </c>
      <c r="Q94" s="257" t="str">
        <f t="shared" si="8"/>
        <v/>
      </c>
      <c r="R94" s="257" t="str">
        <f t="shared" si="13"/>
        <v/>
      </c>
      <c r="S94" s="283" t="str">
        <f t="shared" si="9"/>
        <v/>
      </c>
      <c r="T94" s="258" t="str">
        <f t="shared" si="10"/>
        <v/>
      </c>
      <c r="U94" s="257" t="str">
        <f t="shared" si="11"/>
        <v/>
      </c>
      <c r="V94" s="257" t="str">
        <f t="shared" si="14"/>
        <v/>
      </c>
      <c r="W94" s="283" t="str">
        <f t="shared" si="12"/>
        <v/>
      </c>
      <c r="X94" s="253"/>
      <c r="Y94" s="253"/>
      <c r="Z94" s="253"/>
      <c r="AA94" s="253"/>
      <c r="AB94" s="253"/>
      <c r="AC94" s="253"/>
      <c r="AD94" s="253"/>
      <c r="AE94" s="253"/>
      <c r="AF94" s="253"/>
      <c r="AG94" s="253"/>
      <c r="AH94" s="253"/>
      <c r="AI94" s="253"/>
      <c r="AJ94" s="253"/>
      <c r="AK94" s="253"/>
      <c r="AL94" s="253"/>
      <c r="AM94" s="253"/>
      <c r="AN94" s="253"/>
      <c r="AO94" s="253"/>
      <c r="AP94" s="253"/>
      <c r="AQ94" s="253"/>
      <c r="AR94" s="253"/>
      <c r="AS94" s="253"/>
      <c r="AT94" s="253"/>
      <c r="AU94" s="253"/>
      <c r="AV94" s="59"/>
    </row>
    <row r="95" spans="1:48" ht="19.5" customHeight="1" x14ac:dyDescent="0.35">
      <c r="A95" s="264"/>
      <c r="B95" s="274"/>
      <c r="C95" s="274"/>
      <c r="D95" s="274"/>
      <c r="E95" s="274"/>
      <c r="F95" s="274"/>
      <c r="G95" s="274"/>
      <c r="H95" s="264"/>
      <c r="I95" s="83">
        <v>80</v>
      </c>
      <c r="J95" s="255" t="str">
        <f>IF(I95&lt;=MAX(Forest_data[Age]),I95,"")</f>
        <v/>
      </c>
      <c r="K95" s="256" t="str">
        <f>IF(ISNUMBER(J95),LOOKUP(J95, Forest_data[[#All],[Age]],Forest_data[[#All],[Number of trees per ha]]),"")</f>
        <v/>
      </c>
      <c r="L95" s="257" t="str">
        <f>IF(ISNUMBER(J95),IF(ISNA(VLOOKUP(J95,Forest_data[#All],3,FALSE)),#N/A, VLOOKUP(J95,Forest_data[#All],3,FALSE)),"")</f>
        <v/>
      </c>
      <c r="M95" s="257" t="str">
        <f>IF(ISNUMBER(J95),IF(ISNA(VLOOKUP(J95,Forest_data[#All],4,FALSE)),#N/A, VLOOKUP(J95,Forest_data[#All],4,FALSE)),"")</f>
        <v/>
      </c>
      <c r="N95" s="257" t="str">
        <f>IF(ISNUMBER(J95),IF(ISNA(VLOOKUP(J95,Forest_data[#All],5,FALSE)),#N/A, VLOOKUP(J95,Forest_data[#All],5,FALSE)),"")</f>
        <v/>
      </c>
      <c r="O95" s="257" t="str">
        <f>IF(ISNUMBER(J95),IF(ISNA(VLOOKUP(J95,Forest_data[#All],6,FALSE)),#N/A, VLOOKUP(J95,Forest_data[#All],6,FALSE)),"")</f>
        <v/>
      </c>
      <c r="P95" s="257" t="str">
        <f t="shared" si="15"/>
        <v/>
      </c>
      <c r="Q95" s="257" t="str">
        <f t="shared" si="8"/>
        <v/>
      </c>
      <c r="R95" s="257" t="str">
        <f t="shared" si="13"/>
        <v/>
      </c>
      <c r="S95" s="283" t="str">
        <f t="shared" si="9"/>
        <v/>
      </c>
      <c r="T95" s="258" t="str">
        <f t="shared" si="10"/>
        <v/>
      </c>
      <c r="U95" s="257" t="str">
        <f t="shared" si="11"/>
        <v/>
      </c>
      <c r="V95" s="257" t="str">
        <f t="shared" si="14"/>
        <v/>
      </c>
      <c r="W95" s="283" t="str">
        <f t="shared" si="12"/>
        <v/>
      </c>
      <c r="X95" s="253"/>
      <c r="Y95" s="253"/>
      <c r="Z95" s="253"/>
      <c r="AA95" s="253"/>
      <c r="AB95" s="253"/>
      <c r="AC95" s="253"/>
      <c r="AD95" s="253"/>
      <c r="AE95" s="253"/>
      <c r="AF95" s="253"/>
      <c r="AG95" s="253"/>
      <c r="AH95" s="253"/>
      <c r="AI95" s="253"/>
      <c r="AJ95" s="253"/>
      <c r="AK95" s="253"/>
      <c r="AL95" s="253"/>
      <c r="AM95" s="253"/>
      <c r="AN95" s="253"/>
      <c r="AO95" s="253"/>
      <c r="AP95" s="253"/>
      <c r="AQ95" s="253"/>
      <c r="AR95" s="253"/>
      <c r="AS95" s="253"/>
      <c r="AT95" s="253"/>
      <c r="AU95" s="253"/>
      <c r="AV95" s="59"/>
    </row>
    <row r="96" spans="1:48" ht="19.5" customHeight="1" x14ac:dyDescent="0.35">
      <c r="E96" s="274"/>
      <c r="F96" s="274"/>
      <c r="G96" s="274"/>
      <c r="H96" s="264"/>
      <c r="I96" s="83">
        <v>81</v>
      </c>
      <c r="J96" s="255" t="str">
        <f>IF(I96&lt;=MAX(Forest_data[Age]),I96,"")</f>
        <v/>
      </c>
      <c r="K96" s="256" t="str">
        <f>IF(ISNUMBER(J96),LOOKUP(J96, Forest_data[[#All],[Age]],Forest_data[[#All],[Number of trees per ha]]),"")</f>
        <v/>
      </c>
      <c r="L96" s="257" t="str">
        <f>IF(ISNUMBER(J96),IF(ISNA(VLOOKUP(J96,Forest_data[#All],3,FALSE)),#N/A, VLOOKUP(J96,Forest_data[#All],3,FALSE)),"")</f>
        <v/>
      </c>
      <c r="M96" s="257" t="str">
        <f>IF(ISNUMBER(J96),IF(ISNA(VLOOKUP(J96,Forest_data[#All],4,FALSE)),#N/A, VLOOKUP(J96,Forest_data[#All],4,FALSE)),"")</f>
        <v/>
      </c>
      <c r="N96" s="257" t="str">
        <f>IF(ISNUMBER(J96),IF(ISNA(VLOOKUP(J96,Forest_data[#All],5,FALSE)),#N/A, VLOOKUP(J96,Forest_data[#All],5,FALSE)),"")</f>
        <v/>
      </c>
      <c r="O96" s="257" t="str">
        <f>IF(ISNUMBER(J96),IF(ISNA(VLOOKUP(J96,Forest_data[#All],6,FALSE)),#N/A, VLOOKUP(J96,Forest_data[#All],6,FALSE)),"")</f>
        <v/>
      </c>
      <c r="P96" s="257" t="str">
        <f t="shared" si="15"/>
        <v/>
      </c>
      <c r="Q96" s="257" t="str">
        <f t="shared" si="8"/>
        <v/>
      </c>
      <c r="R96" s="257" t="str">
        <f t="shared" si="13"/>
        <v/>
      </c>
      <c r="S96" s="283" t="str">
        <f t="shared" si="9"/>
        <v/>
      </c>
      <c r="T96" s="258" t="str">
        <f t="shared" si="10"/>
        <v/>
      </c>
      <c r="U96" s="257" t="str">
        <f t="shared" si="11"/>
        <v/>
      </c>
      <c r="V96" s="257" t="str">
        <f t="shared" si="14"/>
        <v/>
      </c>
      <c r="W96" s="283" t="str">
        <f t="shared" si="12"/>
        <v/>
      </c>
      <c r="X96" s="253"/>
      <c r="Y96" s="253"/>
      <c r="Z96" s="253"/>
      <c r="AA96" s="253"/>
      <c r="AB96" s="253"/>
      <c r="AC96" s="253"/>
      <c r="AD96" s="253"/>
      <c r="AE96" s="253"/>
      <c r="AF96" s="253"/>
      <c r="AG96" s="253"/>
      <c r="AH96" s="253"/>
      <c r="AI96" s="253"/>
      <c r="AJ96" s="253"/>
      <c r="AK96" s="253"/>
      <c r="AL96" s="253"/>
      <c r="AM96" s="253"/>
      <c r="AN96" s="253"/>
      <c r="AO96" s="253"/>
      <c r="AP96" s="253"/>
      <c r="AQ96" s="253"/>
      <c r="AR96" s="253"/>
      <c r="AS96" s="253"/>
      <c r="AT96" s="253"/>
      <c r="AU96" s="253"/>
      <c r="AV96" s="59"/>
    </row>
    <row r="97" spans="2:48" ht="19.5" customHeight="1" x14ac:dyDescent="0.35">
      <c r="H97" s="264"/>
      <c r="I97" s="83">
        <v>82</v>
      </c>
      <c r="J97" s="255" t="str">
        <f>IF(I97&lt;=MAX(Forest_data[Age]),I97,"")</f>
        <v/>
      </c>
      <c r="K97" s="256" t="str">
        <f>IF(ISNUMBER(J97),LOOKUP(J97, Forest_data[[#All],[Age]],Forest_data[[#All],[Number of trees per ha]]),"")</f>
        <v/>
      </c>
      <c r="L97" s="257" t="str">
        <f>IF(ISNUMBER(J97),IF(ISNA(VLOOKUP(J97,Forest_data[#All],3,FALSE)),#N/A, VLOOKUP(J97,Forest_data[#All],3,FALSE)),"")</f>
        <v/>
      </c>
      <c r="M97" s="257" t="str">
        <f>IF(ISNUMBER(J97),IF(ISNA(VLOOKUP(J97,Forest_data[#All],4,FALSE)),#N/A, VLOOKUP(J97,Forest_data[#All],4,FALSE)),"")</f>
        <v/>
      </c>
      <c r="N97" s="257" t="str">
        <f>IF(ISNUMBER(J97),IF(ISNA(VLOOKUP(J97,Forest_data[#All],5,FALSE)),#N/A, VLOOKUP(J97,Forest_data[#All],5,FALSE)),"")</f>
        <v/>
      </c>
      <c r="O97" s="257" t="str">
        <f>IF(ISNUMBER(J97),IF(ISNA(VLOOKUP(J97,Forest_data[#All],6,FALSE)),#N/A, VLOOKUP(J97,Forest_data[#All],6,FALSE)),"")</f>
        <v/>
      </c>
      <c r="P97" s="257" t="str">
        <f t="shared" si="15"/>
        <v/>
      </c>
      <c r="Q97" s="257" t="str">
        <f t="shared" si="8"/>
        <v/>
      </c>
      <c r="R97" s="257" t="str">
        <f t="shared" si="13"/>
        <v/>
      </c>
      <c r="S97" s="283" t="str">
        <f t="shared" si="9"/>
        <v/>
      </c>
      <c r="T97" s="258" t="str">
        <f t="shared" si="10"/>
        <v/>
      </c>
      <c r="U97" s="257" t="str">
        <f t="shared" si="11"/>
        <v/>
      </c>
      <c r="V97" s="257" t="str">
        <f t="shared" si="14"/>
        <v/>
      </c>
      <c r="W97" s="283" t="str">
        <f t="shared" si="12"/>
        <v/>
      </c>
      <c r="X97" s="253"/>
      <c r="Y97" s="253"/>
      <c r="Z97" s="253"/>
      <c r="AA97" s="253"/>
      <c r="AB97" s="253"/>
      <c r="AC97" s="253"/>
      <c r="AD97" s="253"/>
      <c r="AE97" s="253"/>
      <c r="AF97" s="253"/>
      <c r="AG97" s="253"/>
      <c r="AH97" s="253"/>
      <c r="AI97" s="253"/>
      <c r="AJ97" s="253"/>
      <c r="AK97" s="253"/>
      <c r="AL97" s="253"/>
      <c r="AM97" s="253"/>
      <c r="AN97" s="253"/>
      <c r="AO97" s="253"/>
      <c r="AP97" s="253"/>
      <c r="AQ97" s="253"/>
      <c r="AR97" s="253"/>
      <c r="AS97" s="253"/>
      <c r="AT97" s="253"/>
      <c r="AU97" s="253"/>
      <c r="AV97" s="59"/>
    </row>
    <row r="98" spans="2:48" ht="19.5" customHeight="1" x14ac:dyDescent="0.35">
      <c r="H98" s="264"/>
      <c r="I98" s="260">
        <v>83</v>
      </c>
      <c r="J98" s="255" t="str">
        <f>IF(I98&lt;=MAX(Forest_data[Age]),I98,"")</f>
        <v/>
      </c>
      <c r="K98" s="256" t="str">
        <f>IF(ISNUMBER(J98),LOOKUP(J98, Forest_data[[#All],[Age]],Forest_data[[#All],[Number of trees per ha]]),"")</f>
        <v/>
      </c>
      <c r="L98" s="257" t="str">
        <f>IF(ISNUMBER(J98),IF(ISNA(VLOOKUP(J98,Forest_data[#All],3,FALSE)),#N/A, VLOOKUP(J98,Forest_data[#All],3,FALSE)),"")</f>
        <v/>
      </c>
      <c r="M98" s="257" t="str">
        <f>IF(ISNUMBER(J98),IF(ISNA(VLOOKUP(J98,Forest_data[#All],4,FALSE)),#N/A, VLOOKUP(J98,Forest_data[#All],4,FALSE)),"")</f>
        <v/>
      </c>
      <c r="N98" s="257" t="str">
        <f>IF(ISNUMBER(J98),IF(ISNA(VLOOKUP(J98,Forest_data[#All],5,FALSE)),#N/A, VLOOKUP(J98,Forest_data[#All],5,FALSE)),"")</f>
        <v/>
      </c>
      <c r="O98" s="257" t="str">
        <f>IF(ISNUMBER(J98),IF(ISNA(VLOOKUP(J98,Forest_data[#All],6,FALSE)),#N/A, VLOOKUP(J98,Forest_data[#All],6,FALSE)),"")</f>
        <v/>
      </c>
      <c r="P98" s="257" t="str">
        <f t="shared" si="15"/>
        <v/>
      </c>
      <c r="Q98" s="257" t="str">
        <f t="shared" si="8"/>
        <v/>
      </c>
      <c r="R98" s="257" t="str">
        <f t="shared" si="13"/>
        <v/>
      </c>
      <c r="S98" s="283" t="str">
        <f t="shared" si="9"/>
        <v/>
      </c>
      <c r="T98" s="258" t="str">
        <f t="shared" si="10"/>
        <v/>
      </c>
      <c r="U98" s="257" t="str">
        <f t="shared" si="11"/>
        <v/>
      </c>
      <c r="V98" s="257" t="str">
        <f t="shared" si="14"/>
        <v/>
      </c>
      <c r="W98" s="283" t="str">
        <f t="shared" si="12"/>
        <v/>
      </c>
      <c r="X98" s="253"/>
      <c r="Y98" s="253"/>
      <c r="Z98" s="253"/>
      <c r="AA98" s="253"/>
      <c r="AB98" s="253"/>
      <c r="AC98" s="253"/>
      <c r="AD98" s="253"/>
      <c r="AE98" s="253"/>
      <c r="AF98" s="253"/>
      <c r="AG98" s="253"/>
      <c r="AH98" s="253"/>
      <c r="AI98" s="253"/>
      <c r="AJ98" s="253"/>
      <c r="AK98" s="253"/>
      <c r="AL98" s="253"/>
      <c r="AM98" s="253"/>
      <c r="AN98" s="253"/>
      <c r="AO98" s="253"/>
      <c r="AP98" s="253"/>
      <c r="AQ98" s="253"/>
      <c r="AR98" s="253"/>
      <c r="AS98" s="253"/>
      <c r="AT98" s="253"/>
      <c r="AU98" s="253"/>
      <c r="AV98" s="59"/>
    </row>
    <row r="99" spans="2:48" ht="19.5" customHeight="1" x14ac:dyDescent="0.35">
      <c r="H99" s="264"/>
      <c r="I99" s="83">
        <v>84</v>
      </c>
      <c r="J99" s="255" t="str">
        <f>IF(I99&lt;=MAX(Forest_data[Age]),I99,"")</f>
        <v/>
      </c>
      <c r="K99" s="256" t="str">
        <f>IF(ISNUMBER(J99),LOOKUP(J99, Forest_data[[#All],[Age]],Forest_data[[#All],[Number of trees per ha]]),"")</f>
        <v/>
      </c>
      <c r="L99" s="257" t="str">
        <f>IF(ISNUMBER(J99),IF(ISNA(VLOOKUP(J99,Forest_data[#All],3,FALSE)),#N/A, VLOOKUP(J99,Forest_data[#All],3,FALSE)),"")</f>
        <v/>
      </c>
      <c r="M99" s="257" t="str">
        <f>IF(ISNUMBER(J99),IF(ISNA(VLOOKUP(J99,Forest_data[#All],4,FALSE)),#N/A, VLOOKUP(J99,Forest_data[#All],4,FALSE)),"")</f>
        <v/>
      </c>
      <c r="N99" s="257" t="str">
        <f>IF(ISNUMBER(J99),IF(ISNA(VLOOKUP(J99,Forest_data[#All],5,FALSE)),#N/A, VLOOKUP(J99,Forest_data[#All],5,FALSE)),"")</f>
        <v/>
      </c>
      <c r="O99" s="257" t="str">
        <f>IF(ISNUMBER(J99),IF(ISNA(VLOOKUP(J99,Forest_data[#All],6,FALSE)),#N/A, VLOOKUP(J99,Forest_data[#All],6,FALSE)),"")</f>
        <v/>
      </c>
      <c r="P99" s="257" t="str">
        <f t="shared" si="15"/>
        <v/>
      </c>
      <c r="Q99" s="257" t="str">
        <f t="shared" si="8"/>
        <v/>
      </c>
      <c r="R99" s="257" t="str">
        <f t="shared" si="13"/>
        <v/>
      </c>
      <c r="S99" s="283" t="str">
        <f t="shared" si="9"/>
        <v/>
      </c>
      <c r="T99" s="258" t="str">
        <f t="shared" si="10"/>
        <v/>
      </c>
      <c r="U99" s="257" t="str">
        <f t="shared" si="11"/>
        <v/>
      </c>
      <c r="V99" s="257" t="str">
        <f t="shared" si="14"/>
        <v/>
      </c>
      <c r="W99" s="283" t="str">
        <f t="shared" si="12"/>
        <v/>
      </c>
      <c r="X99" s="253"/>
      <c r="Y99" s="253"/>
      <c r="Z99" s="253"/>
      <c r="AA99" s="253"/>
      <c r="AB99" s="253"/>
      <c r="AC99" s="253"/>
      <c r="AD99" s="253"/>
      <c r="AE99" s="253"/>
      <c r="AF99" s="253"/>
      <c r="AG99" s="253"/>
      <c r="AH99" s="253"/>
      <c r="AI99" s="253"/>
      <c r="AJ99" s="253"/>
      <c r="AK99" s="253"/>
      <c r="AL99" s="253"/>
      <c r="AM99" s="253"/>
      <c r="AN99" s="253"/>
      <c r="AO99" s="253"/>
      <c r="AP99" s="253"/>
      <c r="AQ99" s="253"/>
      <c r="AR99" s="253"/>
      <c r="AS99" s="253"/>
      <c r="AT99" s="253"/>
      <c r="AU99" s="253"/>
      <c r="AV99" s="59"/>
    </row>
    <row r="100" spans="2:48" ht="19.5" customHeight="1" x14ac:dyDescent="0.35">
      <c r="H100" s="264"/>
      <c r="I100" s="83">
        <v>85</v>
      </c>
      <c r="J100" s="255" t="str">
        <f>IF(I100&lt;=MAX(Forest_data[Age]),I100,"")</f>
        <v/>
      </c>
      <c r="K100" s="256" t="str">
        <f>IF(ISNUMBER(J100),LOOKUP(J100, Forest_data[[#All],[Age]],Forest_data[[#All],[Number of trees per ha]]),"")</f>
        <v/>
      </c>
      <c r="L100" s="257" t="str">
        <f>IF(ISNUMBER(J100),IF(ISNA(VLOOKUP(J100,Forest_data[#All],3,FALSE)),#N/A, VLOOKUP(J100,Forest_data[#All],3,FALSE)),"")</f>
        <v/>
      </c>
      <c r="M100" s="257" t="str">
        <f>IF(ISNUMBER(J100),IF(ISNA(VLOOKUP(J100,Forest_data[#All],4,FALSE)),#N/A, VLOOKUP(J100,Forest_data[#All],4,FALSE)),"")</f>
        <v/>
      </c>
      <c r="N100" s="257" t="str">
        <f>IF(ISNUMBER(J100),IF(ISNA(VLOOKUP(J100,Forest_data[#All],5,FALSE)),#N/A, VLOOKUP(J100,Forest_data[#All],5,FALSE)),"")</f>
        <v/>
      </c>
      <c r="O100" s="257" t="str">
        <f>IF(ISNUMBER(J100),IF(ISNA(VLOOKUP(J100,Forest_data[#All],6,FALSE)),#N/A, VLOOKUP(J100,Forest_data[#All],6,FALSE)),"")</f>
        <v/>
      </c>
      <c r="P100" s="257" t="str">
        <f t="shared" si="15"/>
        <v/>
      </c>
      <c r="Q100" s="257" t="str">
        <f t="shared" si="8"/>
        <v/>
      </c>
      <c r="R100" s="257" t="str">
        <f t="shared" si="13"/>
        <v/>
      </c>
      <c r="S100" s="283" t="str">
        <f t="shared" si="9"/>
        <v/>
      </c>
      <c r="T100" s="258" t="str">
        <f t="shared" si="10"/>
        <v/>
      </c>
      <c r="U100" s="257" t="str">
        <f t="shared" si="11"/>
        <v/>
      </c>
      <c r="V100" s="257" t="str">
        <f t="shared" si="14"/>
        <v/>
      </c>
      <c r="W100" s="283" t="str">
        <f t="shared" si="12"/>
        <v/>
      </c>
      <c r="X100" s="253"/>
      <c r="Y100" s="253"/>
      <c r="Z100" s="253"/>
      <c r="AA100" s="253"/>
      <c r="AB100" s="253"/>
      <c r="AC100" s="253"/>
      <c r="AD100" s="253"/>
      <c r="AE100" s="253"/>
      <c r="AF100" s="253"/>
      <c r="AG100" s="253"/>
      <c r="AH100" s="253"/>
      <c r="AI100" s="253"/>
      <c r="AJ100" s="253"/>
      <c r="AK100" s="253"/>
      <c r="AL100" s="253"/>
      <c r="AM100" s="253"/>
      <c r="AN100" s="253"/>
      <c r="AO100" s="253"/>
      <c r="AP100" s="253"/>
      <c r="AQ100" s="253"/>
      <c r="AR100" s="253"/>
      <c r="AS100" s="253"/>
      <c r="AT100" s="253"/>
      <c r="AU100" s="253"/>
      <c r="AV100" s="59"/>
    </row>
    <row r="101" spans="2:48" ht="19.5" customHeight="1" x14ac:dyDescent="0.35">
      <c r="H101" s="264"/>
      <c r="I101" s="83">
        <v>86</v>
      </c>
      <c r="J101" s="255" t="str">
        <f>IF(I101&lt;=MAX(Forest_data[Age]),I101,"")</f>
        <v/>
      </c>
      <c r="K101" s="256" t="str">
        <f>IF(ISNUMBER(J101),LOOKUP(J101, Forest_data[[#All],[Age]],Forest_data[[#All],[Number of trees per ha]]),"")</f>
        <v/>
      </c>
      <c r="L101" s="257" t="str">
        <f>IF(ISNUMBER(J101),IF(ISNA(VLOOKUP(J101,Forest_data[#All],3,FALSE)),#N/A, VLOOKUP(J101,Forest_data[#All],3,FALSE)),"")</f>
        <v/>
      </c>
      <c r="M101" s="257" t="str">
        <f>IF(ISNUMBER(J101),IF(ISNA(VLOOKUP(J101,Forest_data[#All],4,FALSE)),#N/A, VLOOKUP(J101,Forest_data[#All],4,FALSE)),"")</f>
        <v/>
      </c>
      <c r="N101" s="257" t="str">
        <f>IF(ISNUMBER(J101),IF(ISNA(VLOOKUP(J101,Forest_data[#All],5,FALSE)),#N/A, VLOOKUP(J101,Forest_data[#All],5,FALSE)),"")</f>
        <v/>
      </c>
      <c r="O101" s="257" t="str">
        <f>IF(ISNUMBER(J101),IF(ISNA(VLOOKUP(J101,Forest_data[#All],6,FALSE)),#N/A, VLOOKUP(J101,Forest_data[#All],6,FALSE)),"")</f>
        <v/>
      </c>
      <c r="P101" s="257" t="str">
        <f t="shared" si="15"/>
        <v/>
      </c>
      <c r="Q101" s="257" t="str">
        <f t="shared" si="8"/>
        <v/>
      </c>
      <c r="R101" s="257" t="str">
        <f t="shared" si="13"/>
        <v/>
      </c>
      <c r="S101" s="283" t="str">
        <f t="shared" si="9"/>
        <v/>
      </c>
      <c r="T101" s="258" t="str">
        <f t="shared" si="10"/>
        <v/>
      </c>
      <c r="U101" s="257" t="str">
        <f t="shared" si="11"/>
        <v/>
      </c>
      <c r="V101" s="257" t="str">
        <f t="shared" si="14"/>
        <v/>
      </c>
      <c r="W101" s="283" t="str">
        <f t="shared" si="12"/>
        <v/>
      </c>
      <c r="X101" s="253"/>
      <c r="Y101" s="253"/>
      <c r="Z101" s="253"/>
      <c r="AA101" s="253"/>
      <c r="AB101" s="253"/>
      <c r="AC101" s="253"/>
      <c r="AD101" s="253"/>
      <c r="AE101" s="253"/>
      <c r="AF101" s="253"/>
      <c r="AG101" s="253"/>
      <c r="AH101" s="253"/>
      <c r="AI101" s="253"/>
      <c r="AJ101" s="253"/>
      <c r="AK101" s="253"/>
      <c r="AL101" s="253"/>
      <c r="AM101" s="253"/>
      <c r="AN101" s="253"/>
      <c r="AO101" s="253"/>
      <c r="AP101" s="253"/>
      <c r="AQ101" s="253"/>
      <c r="AR101" s="253"/>
      <c r="AS101" s="253"/>
      <c r="AT101" s="253"/>
      <c r="AU101" s="253"/>
      <c r="AV101" s="59"/>
    </row>
    <row r="102" spans="2:48" ht="19.5" customHeight="1" x14ac:dyDescent="0.35">
      <c r="H102" s="264"/>
      <c r="I102" s="260">
        <v>87</v>
      </c>
      <c r="J102" s="255" t="str">
        <f>IF(I102&lt;=MAX(Forest_data[Age]),I102,"")</f>
        <v/>
      </c>
      <c r="K102" s="256" t="str">
        <f>IF(ISNUMBER(J102),LOOKUP(J102, Forest_data[[#All],[Age]],Forest_data[[#All],[Number of trees per ha]]),"")</f>
        <v/>
      </c>
      <c r="L102" s="257" t="str">
        <f>IF(ISNUMBER(J102),IF(ISNA(VLOOKUP(J102,Forest_data[#All],3,FALSE)),#N/A, VLOOKUP(J102,Forest_data[#All],3,FALSE)),"")</f>
        <v/>
      </c>
      <c r="M102" s="257" t="str">
        <f>IF(ISNUMBER(J102),IF(ISNA(VLOOKUP(J102,Forest_data[#All],4,FALSE)),#N/A, VLOOKUP(J102,Forest_data[#All],4,FALSE)),"")</f>
        <v/>
      </c>
      <c r="N102" s="257" t="str">
        <f>IF(ISNUMBER(J102),IF(ISNA(VLOOKUP(J102,Forest_data[#All],5,FALSE)),#N/A, VLOOKUP(J102,Forest_data[#All],5,FALSE)),"")</f>
        <v/>
      </c>
      <c r="O102" s="257" t="str">
        <f>IF(ISNUMBER(J102),IF(ISNA(VLOOKUP(J102,Forest_data[#All],6,FALSE)),#N/A, VLOOKUP(J102,Forest_data[#All],6,FALSE)),"")</f>
        <v/>
      </c>
      <c r="P102" s="257" t="str">
        <f t="shared" si="15"/>
        <v/>
      </c>
      <c r="Q102" s="257" t="str">
        <f t="shared" si="8"/>
        <v/>
      </c>
      <c r="R102" s="257" t="str">
        <f t="shared" si="13"/>
        <v/>
      </c>
      <c r="S102" s="283" t="str">
        <f t="shared" si="9"/>
        <v/>
      </c>
      <c r="T102" s="258" t="str">
        <f t="shared" si="10"/>
        <v/>
      </c>
      <c r="U102" s="257" t="str">
        <f t="shared" si="11"/>
        <v/>
      </c>
      <c r="V102" s="257" t="str">
        <f t="shared" si="14"/>
        <v/>
      </c>
      <c r="W102" s="283" t="str">
        <f t="shared" si="12"/>
        <v/>
      </c>
      <c r="X102" s="253"/>
      <c r="Y102" s="253"/>
      <c r="Z102" s="253"/>
      <c r="AA102" s="253"/>
      <c r="AB102" s="253"/>
      <c r="AC102" s="253"/>
      <c r="AD102" s="253"/>
      <c r="AE102" s="253"/>
      <c r="AF102" s="253"/>
      <c r="AG102" s="253"/>
      <c r="AH102" s="253"/>
      <c r="AI102" s="253"/>
      <c r="AJ102" s="253"/>
      <c r="AK102" s="253"/>
      <c r="AL102" s="253"/>
      <c r="AM102" s="253"/>
      <c r="AN102" s="253"/>
      <c r="AO102" s="253"/>
      <c r="AP102" s="253"/>
      <c r="AQ102" s="253"/>
      <c r="AR102" s="253"/>
      <c r="AS102" s="253"/>
      <c r="AT102" s="253"/>
      <c r="AU102" s="253"/>
      <c r="AV102" s="59"/>
    </row>
    <row r="103" spans="2:48" ht="19.5" customHeight="1" x14ac:dyDescent="0.35">
      <c r="H103" s="264"/>
      <c r="I103" s="83">
        <v>88</v>
      </c>
      <c r="J103" s="255" t="str">
        <f>IF(I103&lt;=MAX(Forest_data[Age]),I103,"")</f>
        <v/>
      </c>
      <c r="K103" s="256" t="str">
        <f>IF(ISNUMBER(J103),LOOKUP(J103, Forest_data[[#All],[Age]],Forest_data[[#All],[Number of trees per ha]]),"")</f>
        <v/>
      </c>
      <c r="L103" s="257" t="str">
        <f>IF(ISNUMBER(J103),IF(ISNA(VLOOKUP(J103,Forest_data[#All],3,FALSE)),#N/A, VLOOKUP(J103,Forest_data[#All],3,FALSE)),"")</f>
        <v/>
      </c>
      <c r="M103" s="257" t="str">
        <f>IF(ISNUMBER(J103),IF(ISNA(VLOOKUP(J103,Forest_data[#All],4,FALSE)),#N/A, VLOOKUP(J103,Forest_data[#All],4,FALSE)),"")</f>
        <v/>
      </c>
      <c r="N103" s="257" t="str">
        <f>IF(ISNUMBER(J103),IF(ISNA(VLOOKUP(J103,Forest_data[#All],5,FALSE)),#N/A, VLOOKUP(J103,Forest_data[#All],5,FALSE)),"")</f>
        <v/>
      </c>
      <c r="O103" s="257" t="str">
        <f>IF(ISNUMBER(J103),IF(ISNA(VLOOKUP(J103,Forest_data[#All],6,FALSE)),#N/A, VLOOKUP(J103,Forest_data[#All],6,FALSE)),"")</f>
        <v/>
      </c>
      <c r="P103" s="257" t="str">
        <f t="shared" si="15"/>
        <v/>
      </c>
      <c r="Q103" s="257" t="str">
        <f t="shared" si="8"/>
        <v/>
      </c>
      <c r="R103" s="257" t="str">
        <f t="shared" si="13"/>
        <v/>
      </c>
      <c r="S103" s="283" t="str">
        <f t="shared" si="9"/>
        <v/>
      </c>
      <c r="T103" s="258" t="str">
        <f t="shared" si="10"/>
        <v/>
      </c>
      <c r="U103" s="257" t="str">
        <f t="shared" si="11"/>
        <v/>
      </c>
      <c r="V103" s="257" t="str">
        <f t="shared" si="14"/>
        <v/>
      </c>
      <c r="W103" s="283" t="str">
        <f t="shared" si="12"/>
        <v/>
      </c>
      <c r="X103" s="253"/>
      <c r="Y103" s="253"/>
      <c r="Z103" s="253"/>
      <c r="AA103" s="253"/>
      <c r="AB103" s="253"/>
      <c r="AC103" s="253"/>
      <c r="AD103" s="253"/>
      <c r="AE103" s="253"/>
      <c r="AF103" s="253"/>
      <c r="AG103" s="253"/>
      <c r="AH103" s="253"/>
      <c r="AI103" s="253"/>
      <c r="AJ103" s="253"/>
      <c r="AK103" s="253"/>
      <c r="AL103" s="253"/>
      <c r="AM103" s="253"/>
      <c r="AN103" s="253"/>
      <c r="AO103" s="253"/>
      <c r="AP103" s="253"/>
      <c r="AQ103" s="253"/>
      <c r="AR103" s="253"/>
      <c r="AS103" s="253"/>
      <c r="AT103" s="253"/>
      <c r="AU103" s="253"/>
      <c r="AV103" s="59"/>
    </row>
    <row r="104" spans="2:48" ht="19.5" customHeight="1" x14ac:dyDescent="0.35">
      <c r="H104" s="264"/>
      <c r="I104" s="83">
        <v>89</v>
      </c>
      <c r="J104" s="255" t="str">
        <f>IF(I104&lt;=MAX(Forest_data[Age]),I104,"")</f>
        <v/>
      </c>
      <c r="K104" s="256" t="str">
        <f>IF(ISNUMBER(J104),LOOKUP(J104, Forest_data[[#All],[Age]],Forest_data[[#All],[Number of trees per ha]]),"")</f>
        <v/>
      </c>
      <c r="L104" s="257" t="str">
        <f>IF(ISNUMBER(J104),IF(ISNA(VLOOKUP(J104,Forest_data[#All],3,FALSE)),#N/A, VLOOKUP(J104,Forest_data[#All],3,FALSE)),"")</f>
        <v/>
      </c>
      <c r="M104" s="257" t="str">
        <f>IF(ISNUMBER(J104),IF(ISNA(VLOOKUP(J104,Forest_data[#All],4,FALSE)),#N/A, VLOOKUP(J104,Forest_data[#All],4,FALSE)),"")</f>
        <v/>
      </c>
      <c r="N104" s="257" t="str">
        <f>IF(ISNUMBER(J104),IF(ISNA(VLOOKUP(J104,Forest_data[#All],5,FALSE)),#N/A, VLOOKUP(J104,Forest_data[#All],5,FALSE)),"")</f>
        <v/>
      </c>
      <c r="O104" s="257" t="str">
        <f>IF(ISNUMBER(J104),IF(ISNA(VLOOKUP(J104,Forest_data[#All],6,FALSE)),#N/A, VLOOKUP(J104,Forest_data[#All],6,FALSE)),"")</f>
        <v/>
      </c>
      <c r="P104" s="257" t="str">
        <f t="shared" si="15"/>
        <v/>
      </c>
      <c r="Q104" s="257" t="str">
        <f t="shared" si="8"/>
        <v/>
      </c>
      <c r="R104" s="257" t="str">
        <f t="shared" si="13"/>
        <v/>
      </c>
      <c r="S104" s="283" t="str">
        <f t="shared" si="9"/>
        <v/>
      </c>
      <c r="T104" s="258" t="str">
        <f t="shared" si="10"/>
        <v/>
      </c>
      <c r="U104" s="257" t="str">
        <f t="shared" si="11"/>
        <v/>
      </c>
      <c r="V104" s="257" t="str">
        <f t="shared" si="14"/>
        <v/>
      </c>
      <c r="W104" s="283" t="str">
        <f t="shared" si="12"/>
        <v/>
      </c>
      <c r="X104" s="253"/>
      <c r="Y104" s="253"/>
      <c r="Z104" s="253"/>
      <c r="AA104" s="253"/>
      <c r="AB104" s="253"/>
      <c r="AC104" s="253"/>
      <c r="AD104" s="253"/>
      <c r="AE104" s="253"/>
      <c r="AF104" s="253"/>
      <c r="AG104" s="253"/>
      <c r="AH104" s="253"/>
      <c r="AI104" s="253"/>
      <c r="AJ104" s="253"/>
      <c r="AK104" s="253"/>
      <c r="AL104" s="253"/>
      <c r="AM104" s="253"/>
      <c r="AN104" s="253"/>
      <c r="AO104" s="253"/>
      <c r="AP104" s="253"/>
      <c r="AQ104" s="253"/>
      <c r="AR104" s="253"/>
      <c r="AS104" s="253"/>
      <c r="AT104" s="253"/>
      <c r="AU104" s="253"/>
      <c r="AV104" s="59"/>
    </row>
    <row r="105" spans="2:48" ht="19.5" customHeight="1" x14ac:dyDescent="0.35">
      <c r="H105" s="264"/>
      <c r="I105" s="83">
        <v>90</v>
      </c>
      <c r="J105" s="255" t="str">
        <f>IF(I105&lt;=MAX(Forest_data[Age]),I105,"")</f>
        <v/>
      </c>
      <c r="K105" s="256" t="str">
        <f>IF(ISNUMBER(J105),LOOKUP(J105, Forest_data[[#All],[Age]],Forest_data[[#All],[Number of trees per ha]]),"")</f>
        <v/>
      </c>
      <c r="L105" s="257" t="str">
        <f>IF(ISNUMBER(J105),IF(ISNA(VLOOKUP(J105,Forest_data[#All],3,FALSE)),#N/A, VLOOKUP(J105,Forest_data[#All],3,FALSE)),"")</f>
        <v/>
      </c>
      <c r="M105" s="257" t="str">
        <f>IF(ISNUMBER(J105),IF(ISNA(VLOOKUP(J105,Forest_data[#All],4,FALSE)),#N/A, VLOOKUP(J105,Forest_data[#All],4,FALSE)),"")</f>
        <v/>
      </c>
      <c r="N105" s="257" t="str">
        <f>IF(ISNUMBER(J105),IF(ISNA(VLOOKUP(J105,Forest_data[#All],5,FALSE)),#N/A, VLOOKUP(J105,Forest_data[#All],5,FALSE)),"")</f>
        <v/>
      </c>
      <c r="O105" s="257" t="str">
        <f>IF(ISNUMBER(J105),IF(ISNA(VLOOKUP(J105,Forest_data[#All],6,FALSE)),#N/A, VLOOKUP(J105,Forest_data[#All],6,FALSE)),"")</f>
        <v/>
      </c>
      <c r="P105" s="257" t="str">
        <f t="shared" si="15"/>
        <v/>
      </c>
      <c r="Q105" s="257" t="str">
        <f t="shared" si="8"/>
        <v/>
      </c>
      <c r="R105" s="257" t="str">
        <f t="shared" si="13"/>
        <v/>
      </c>
      <c r="S105" s="283" t="str">
        <f t="shared" si="9"/>
        <v/>
      </c>
      <c r="T105" s="258" t="str">
        <f t="shared" si="10"/>
        <v/>
      </c>
      <c r="U105" s="257" t="str">
        <f t="shared" si="11"/>
        <v/>
      </c>
      <c r="V105" s="257" t="str">
        <f t="shared" si="14"/>
        <v/>
      </c>
      <c r="W105" s="283" t="str">
        <f t="shared" si="12"/>
        <v/>
      </c>
      <c r="X105" s="253"/>
      <c r="Y105" s="253"/>
      <c r="Z105" s="253"/>
      <c r="AA105" s="253"/>
      <c r="AB105" s="253"/>
      <c r="AC105" s="253"/>
      <c r="AD105" s="253"/>
      <c r="AE105" s="253"/>
      <c r="AF105" s="253"/>
      <c r="AG105" s="253"/>
      <c r="AH105" s="253"/>
      <c r="AI105" s="253"/>
      <c r="AJ105" s="253"/>
      <c r="AK105" s="253"/>
      <c r="AL105" s="253"/>
      <c r="AM105" s="253"/>
      <c r="AN105" s="253"/>
      <c r="AO105" s="253"/>
      <c r="AP105" s="253"/>
      <c r="AQ105" s="253"/>
      <c r="AR105" s="253"/>
      <c r="AS105" s="253"/>
      <c r="AT105" s="253"/>
      <c r="AU105" s="253"/>
      <c r="AV105" s="59"/>
    </row>
    <row r="106" spans="2:48" ht="19.5" customHeight="1" x14ac:dyDescent="0.35">
      <c r="H106" s="264"/>
      <c r="I106" s="260">
        <v>91</v>
      </c>
      <c r="J106" s="255" t="str">
        <f>IF(I106&lt;=MAX(Forest_data[Age]),I106,"")</f>
        <v/>
      </c>
      <c r="K106" s="256" t="str">
        <f>IF(ISNUMBER(J106),LOOKUP(J106, Forest_data[[#All],[Age]],Forest_data[[#All],[Number of trees per ha]]),"")</f>
        <v/>
      </c>
      <c r="L106" s="257" t="str">
        <f>IF(ISNUMBER(J106),IF(ISNA(VLOOKUP(J106,Forest_data[#All],3,FALSE)),#N/A, VLOOKUP(J106,Forest_data[#All],3,FALSE)),"")</f>
        <v/>
      </c>
      <c r="M106" s="257" t="str">
        <f>IF(ISNUMBER(J106),IF(ISNA(VLOOKUP(J106,Forest_data[#All],4,FALSE)),#N/A, VLOOKUP(J106,Forest_data[#All],4,FALSE)),"")</f>
        <v/>
      </c>
      <c r="N106" s="257" t="str">
        <f>IF(ISNUMBER(J106),IF(ISNA(VLOOKUP(J106,Forest_data[#All],5,FALSE)),#N/A, VLOOKUP(J106,Forest_data[#All],5,FALSE)),"")</f>
        <v/>
      </c>
      <c r="O106" s="257" t="str">
        <f>IF(ISNUMBER(J106),IF(ISNA(VLOOKUP(J106,Forest_data[#All],6,FALSE)),#N/A, VLOOKUP(J106,Forest_data[#All],6,FALSE)),"")</f>
        <v/>
      </c>
      <c r="P106" s="257" t="str">
        <f t="shared" si="15"/>
        <v/>
      </c>
      <c r="Q106" s="257" t="str">
        <f t="shared" si="8"/>
        <v/>
      </c>
      <c r="R106" s="257" t="str">
        <f t="shared" si="13"/>
        <v/>
      </c>
      <c r="S106" s="283" t="str">
        <f t="shared" si="9"/>
        <v/>
      </c>
      <c r="T106" s="258" t="str">
        <f t="shared" si="10"/>
        <v/>
      </c>
      <c r="U106" s="257" t="str">
        <f t="shared" si="11"/>
        <v/>
      </c>
      <c r="V106" s="257" t="str">
        <f t="shared" si="14"/>
        <v/>
      </c>
      <c r="W106" s="283" t="str">
        <f t="shared" si="12"/>
        <v/>
      </c>
      <c r="X106" s="253"/>
      <c r="Y106" s="253"/>
      <c r="Z106" s="253"/>
      <c r="AA106" s="253"/>
      <c r="AB106" s="253"/>
      <c r="AC106" s="253"/>
      <c r="AD106" s="253"/>
      <c r="AE106" s="253"/>
      <c r="AF106" s="253"/>
      <c r="AG106" s="253"/>
      <c r="AH106" s="253"/>
      <c r="AI106" s="253"/>
      <c r="AJ106" s="253"/>
      <c r="AK106" s="253"/>
      <c r="AL106" s="253"/>
      <c r="AM106" s="253"/>
      <c r="AN106" s="253"/>
      <c r="AO106" s="253"/>
      <c r="AP106" s="253"/>
      <c r="AQ106" s="253"/>
      <c r="AR106" s="253"/>
      <c r="AS106" s="253"/>
      <c r="AT106" s="253"/>
      <c r="AU106" s="253"/>
      <c r="AV106" s="59"/>
    </row>
    <row r="107" spans="2:48" ht="19.5" customHeight="1" x14ac:dyDescent="0.35">
      <c r="H107" s="264"/>
      <c r="I107" s="83">
        <v>92</v>
      </c>
      <c r="J107" s="255" t="str">
        <f>IF(I107&lt;=MAX(Forest_data[Age]),I107,"")</f>
        <v/>
      </c>
      <c r="K107" s="256" t="str">
        <f>IF(ISNUMBER(J107),LOOKUP(J107, Forest_data[[#All],[Age]],Forest_data[[#All],[Number of trees per ha]]),"")</f>
        <v/>
      </c>
      <c r="L107" s="257" t="str">
        <f>IF(ISNUMBER(J107),IF(ISNA(VLOOKUP(J107,Forest_data[#All],3,FALSE)),#N/A, VLOOKUP(J107,Forest_data[#All],3,FALSE)),"")</f>
        <v/>
      </c>
      <c r="M107" s="257" t="str">
        <f>IF(ISNUMBER(J107),IF(ISNA(VLOOKUP(J107,Forest_data[#All],4,FALSE)),#N/A, VLOOKUP(J107,Forest_data[#All],4,FALSE)),"")</f>
        <v/>
      </c>
      <c r="N107" s="257" t="str">
        <f>IF(ISNUMBER(J107),IF(ISNA(VLOOKUP(J107,Forest_data[#All],5,FALSE)),#N/A, VLOOKUP(J107,Forest_data[#All],5,FALSE)),"")</f>
        <v/>
      </c>
      <c r="O107" s="257" t="str">
        <f>IF(ISNUMBER(J107),IF(ISNA(VLOOKUP(J107,Forest_data[#All],6,FALSE)),#N/A, VLOOKUP(J107,Forest_data[#All],6,FALSE)),"")</f>
        <v/>
      </c>
      <c r="P107" s="257" t="str">
        <f t="shared" si="15"/>
        <v/>
      </c>
      <c r="Q107" s="257" t="str">
        <f t="shared" si="8"/>
        <v/>
      </c>
      <c r="R107" s="257" t="str">
        <f t="shared" si="13"/>
        <v/>
      </c>
      <c r="S107" s="283" t="str">
        <f t="shared" si="9"/>
        <v/>
      </c>
      <c r="T107" s="258" t="str">
        <f t="shared" si="10"/>
        <v/>
      </c>
      <c r="U107" s="257" t="str">
        <f t="shared" si="11"/>
        <v/>
      </c>
      <c r="V107" s="257" t="str">
        <f t="shared" si="14"/>
        <v/>
      </c>
      <c r="W107" s="283" t="str">
        <f t="shared" si="12"/>
        <v/>
      </c>
      <c r="X107" s="253"/>
      <c r="Y107" s="253"/>
      <c r="Z107" s="253"/>
      <c r="AA107" s="253"/>
      <c r="AB107" s="253"/>
      <c r="AC107" s="253"/>
      <c r="AD107" s="253"/>
      <c r="AE107" s="253"/>
      <c r="AF107" s="253"/>
      <c r="AG107" s="253"/>
      <c r="AH107" s="253"/>
      <c r="AI107" s="253"/>
      <c r="AJ107" s="253"/>
      <c r="AK107" s="253"/>
      <c r="AL107" s="253"/>
      <c r="AM107" s="253"/>
      <c r="AN107" s="253"/>
      <c r="AO107" s="253"/>
      <c r="AP107" s="253"/>
      <c r="AQ107" s="253"/>
      <c r="AR107" s="253"/>
      <c r="AS107" s="253"/>
      <c r="AT107" s="253"/>
      <c r="AU107" s="253"/>
      <c r="AV107" s="59"/>
    </row>
    <row r="108" spans="2:48" ht="19.5" customHeight="1" x14ac:dyDescent="0.35">
      <c r="H108" s="264"/>
      <c r="I108" s="83">
        <v>93</v>
      </c>
      <c r="J108" s="255" t="str">
        <f>IF(I108&lt;=MAX(Forest_data[Age]),I108,"")</f>
        <v/>
      </c>
      <c r="K108" s="256" t="str">
        <f>IF(ISNUMBER(J108),LOOKUP(J108, Forest_data[[#All],[Age]],Forest_data[[#All],[Number of trees per ha]]),"")</f>
        <v/>
      </c>
      <c r="L108" s="257" t="str">
        <f>IF(ISNUMBER(J108),IF(ISNA(VLOOKUP(J108,Forest_data[#All],3,FALSE)),#N/A, VLOOKUP(J108,Forest_data[#All],3,FALSE)),"")</f>
        <v/>
      </c>
      <c r="M108" s="257" t="str">
        <f>IF(ISNUMBER(J108),IF(ISNA(VLOOKUP(J108,Forest_data[#All],4,FALSE)),#N/A, VLOOKUP(J108,Forest_data[#All],4,FALSE)),"")</f>
        <v/>
      </c>
      <c r="N108" s="257" t="str">
        <f>IF(ISNUMBER(J108),IF(ISNA(VLOOKUP(J108,Forest_data[#All],5,FALSE)),#N/A, VLOOKUP(J108,Forest_data[#All],5,FALSE)),"")</f>
        <v/>
      </c>
      <c r="O108" s="257" t="str">
        <f>IF(ISNUMBER(J108),IF(ISNA(VLOOKUP(J108,Forest_data[#All],6,FALSE)),#N/A, VLOOKUP(J108,Forest_data[#All],6,FALSE)),"")</f>
        <v/>
      </c>
      <c r="P108" s="257" t="str">
        <f t="shared" si="15"/>
        <v/>
      </c>
      <c r="Q108" s="257" t="str">
        <f t="shared" si="8"/>
        <v/>
      </c>
      <c r="R108" s="257" t="str">
        <f t="shared" si="13"/>
        <v/>
      </c>
      <c r="S108" s="283" t="str">
        <f t="shared" si="9"/>
        <v/>
      </c>
      <c r="T108" s="258" t="str">
        <f t="shared" si="10"/>
        <v/>
      </c>
      <c r="U108" s="257" t="str">
        <f t="shared" si="11"/>
        <v/>
      </c>
      <c r="V108" s="257" t="str">
        <f t="shared" si="14"/>
        <v/>
      </c>
      <c r="W108" s="283" t="str">
        <f t="shared" si="12"/>
        <v/>
      </c>
      <c r="X108" s="253"/>
      <c r="Y108" s="253"/>
      <c r="Z108" s="253"/>
      <c r="AA108" s="253"/>
      <c r="AB108" s="253"/>
      <c r="AC108" s="253"/>
      <c r="AD108" s="253"/>
      <c r="AE108" s="253"/>
      <c r="AF108" s="253"/>
      <c r="AG108" s="253"/>
      <c r="AH108" s="253"/>
      <c r="AI108" s="253"/>
      <c r="AJ108" s="253"/>
      <c r="AK108" s="253"/>
      <c r="AL108" s="253"/>
      <c r="AM108" s="253"/>
      <c r="AN108" s="253"/>
      <c r="AO108" s="253"/>
      <c r="AP108" s="253"/>
      <c r="AQ108" s="253"/>
      <c r="AR108" s="253"/>
      <c r="AS108" s="253"/>
      <c r="AT108" s="253"/>
      <c r="AU108" s="253"/>
      <c r="AV108" s="59"/>
    </row>
    <row r="109" spans="2:48" ht="19.5" customHeight="1" x14ac:dyDescent="0.25">
      <c r="I109" s="83">
        <v>94</v>
      </c>
      <c r="J109" s="255" t="str">
        <f>IF(I109&lt;=MAX(Forest_data[Age]),I109,"")</f>
        <v/>
      </c>
      <c r="K109" s="256" t="str">
        <f>IF(ISNUMBER(J109),LOOKUP(J109, Forest_data[[#All],[Age]],Forest_data[[#All],[Number of trees per ha]]),"")</f>
        <v/>
      </c>
      <c r="L109" s="257" t="str">
        <f>IF(ISNUMBER(J109),IF(ISNA(VLOOKUP(J109,Forest_data[#All],3,FALSE)),#N/A, VLOOKUP(J109,Forest_data[#All],3,FALSE)),"")</f>
        <v/>
      </c>
      <c r="M109" s="257" t="str">
        <f>IF(ISNUMBER(J109),IF(ISNA(VLOOKUP(J109,Forest_data[#All],4,FALSE)),#N/A, VLOOKUP(J109,Forest_data[#All],4,FALSE)),"")</f>
        <v/>
      </c>
      <c r="N109" s="257" t="str">
        <f>IF(ISNUMBER(J109),IF(ISNA(VLOOKUP(J109,Forest_data[#All],5,FALSE)),#N/A, VLOOKUP(J109,Forest_data[#All],5,FALSE)),"")</f>
        <v/>
      </c>
      <c r="O109" s="257" t="str">
        <f>IF(ISNUMBER(J109),IF(ISNA(VLOOKUP(J109,Forest_data[#All],6,FALSE)),#N/A, VLOOKUP(J109,Forest_data[#All],6,FALSE)),"")</f>
        <v/>
      </c>
      <c r="P109" s="257" t="str">
        <f t="shared" si="15"/>
        <v/>
      </c>
      <c r="Q109" s="257" t="str">
        <f t="shared" si="8"/>
        <v/>
      </c>
      <c r="R109" s="257" t="str">
        <f t="shared" si="13"/>
        <v/>
      </c>
      <c r="S109" s="283" t="str">
        <f t="shared" si="9"/>
        <v/>
      </c>
      <c r="T109" s="258" t="str">
        <f t="shared" si="10"/>
        <v/>
      </c>
      <c r="U109" s="257" t="str">
        <f t="shared" si="11"/>
        <v/>
      </c>
      <c r="V109" s="257" t="str">
        <f t="shared" si="14"/>
        <v/>
      </c>
      <c r="W109" s="283" t="str">
        <f t="shared" si="12"/>
        <v/>
      </c>
      <c r="X109" s="253"/>
      <c r="Y109" s="253"/>
      <c r="Z109" s="253"/>
      <c r="AA109" s="253"/>
      <c r="AB109" s="253"/>
      <c r="AC109" s="253"/>
      <c r="AD109" s="253"/>
      <c r="AE109" s="253"/>
      <c r="AF109" s="253"/>
      <c r="AG109" s="253"/>
      <c r="AH109" s="253"/>
      <c r="AI109" s="253"/>
      <c r="AJ109" s="253"/>
      <c r="AK109" s="253"/>
      <c r="AL109" s="253"/>
      <c r="AM109" s="253"/>
      <c r="AN109" s="253"/>
      <c r="AO109" s="253"/>
      <c r="AP109" s="253"/>
      <c r="AQ109" s="253"/>
      <c r="AR109" s="253"/>
      <c r="AS109" s="253"/>
      <c r="AT109" s="253"/>
      <c r="AU109" s="253"/>
      <c r="AV109" s="59"/>
    </row>
    <row r="110" spans="2:48" ht="19.5" customHeight="1" x14ac:dyDescent="0.25">
      <c r="B110" s="259"/>
      <c r="C110" s="276"/>
      <c r="D110" s="276"/>
      <c r="E110" s="276"/>
      <c r="F110" s="276"/>
      <c r="I110" s="260">
        <v>95</v>
      </c>
      <c r="J110" s="255" t="str">
        <f>IF(I110&lt;=MAX(Forest_data[Age]),I110,"")</f>
        <v/>
      </c>
      <c r="K110" s="256" t="str">
        <f>IF(ISNUMBER(J110),LOOKUP(J110, Forest_data[[#All],[Age]],Forest_data[[#All],[Number of trees per ha]]),"")</f>
        <v/>
      </c>
      <c r="L110" s="257" t="str">
        <f>IF(ISNUMBER(J110),IF(ISNA(VLOOKUP(J110,Forest_data[#All],3,FALSE)),#N/A, VLOOKUP(J110,Forest_data[#All],3,FALSE)),"")</f>
        <v/>
      </c>
      <c r="M110" s="257" t="str">
        <f>IF(ISNUMBER(J110),IF(ISNA(VLOOKUP(J110,Forest_data[#All],4,FALSE)),#N/A, VLOOKUP(J110,Forest_data[#All],4,FALSE)),"")</f>
        <v/>
      </c>
      <c r="N110" s="257" t="str">
        <f>IF(ISNUMBER(J110),IF(ISNA(VLOOKUP(J110,Forest_data[#All],5,FALSE)),#N/A, VLOOKUP(J110,Forest_data[#All],5,FALSE)),"")</f>
        <v/>
      </c>
      <c r="O110" s="257" t="str">
        <f>IF(ISNUMBER(J110),IF(ISNA(VLOOKUP(J110,Forest_data[#All],6,FALSE)),#N/A, VLOOKUP(J110,Forest_data[#All],6,FALSE)),"")</f>
        <v/>
      </c>
      <c r="P110" s="257" t="str">
        <f t="shared" si="15"/>
        <v/>
      </c>
      <c r="Q110" s="257" t="str">
        <f t="shared" si="8"/>
        <v/>
      </c>
      <c r="R110" s="257" t="str">
        <f t="shared" si="13"/>
        <v/>
      </c>
      <c r="S110" s="283" t="str">
        <f t="shared" si="9"/>
        <v/>
      </c>
      <c r="T110" s="258" t="str">
        <f t="shared" si="10"/>
        <v/>
      </c>
      <c r="U110" s="257" t="str">
        <f t="shared" si="11"/>
        <v/>
      </c>
      <c r="V110" s="257" t="str">
        <f t="shared" si="14"/>
        <v/>
      </c>
      <c r="W110" s="283" t="str">
        <f t="shared" si="12"/>
        <v/>
      </c>
      <c r="X110" s="253"/>
      <c r="Y110" s="253"/>
      <c r="Z110" s="253"/>
      <c r="AA110" s="253"/>
      <c r="AB110" s="253"/>
      <c r="AC110" s="253"/>
      <c r="AD110" s="253"/>
      <c r="AE110" s="253"/>
      <c r="AF110" s="253"/>
      <c r="AG110" s="253"/>
      <c r="AH110" s="253"/>
      <c r="AI110" s="253"/>
      <c r="AJ110" s="253"/>
      <c r="AK110" s="253"/>
      <c r="AL110" s="253"/>
      <c r="AM110" s="253"/>
      <c r="AN110" s="253"/>
      <c r="AO110" s="253"/>
      <c r="AP110" s="253"/>
      <c r="AQ110" s="253"/>
      <c r="AR110" s="253"/>
      <c r="AS110" s="253"/>
      <c r="AT110" s="253"/>
      <c r="AU110" s="253"/>
      <c r="AV110" s="59"/>
    </row>
    <row r="111" spans="2:48" ht="19.5" customHeight="1" x14ac:dyDescent="0.25">
      <c r="B111" s="259"/>
      <c r="C111" s="276"/>
      <c r="D111" s="276"/>
      <c r="E111" s="276"/>
      <c r="F111" s="276"/>
      <c r="I111" s="83">
        <v>96</v>
      </c>
      <c r="J111" s="255" t="str">
        <f>IF(I111&lt;=MAX(Forest_data[Age]),I111,"")</f>
        <v/>
      </c>
      <c r="K111" s="256" t="str">
        <f>IF(ISNUMBER(J111),LOOKUP(J111, Forest_data[[#All],[Age]],Forest_data[[#All],[Number of trees per ha]]),"")</f>
        <v/>
      </c>
      <c r="L111" s="257" t="str">
        <f>IF(ISNUMBER(J111),IF(ISNA(VLOOKUP(J111,Forest_data[#All],3,FALSE)),#N/A, VLOOKUP(J111,Forest_data[#All],3,FALSE)),"")</f>
        <v/>
      </c>
      <c r="M111" s="257" t="str">
        <f>IF(ISNUMBER(J111),IF(ISNA(VLOOKUP(J111,Forest_data[#All],4,FALSE)),#N/A, VLOOKUP(J111,Forest_data[#All],4,FALSE)),"")</f>
        <v/>
      </c>
      <c r="N111" s="257" t="str">
        <f>IF(ISNUMBER(J111),IF(ISNA(VLOOKUP(J111,Forest_data[#All],5,FALSE)),#N/A, VLOOKUP(J111,Forest_data[#All],5,FALSE)),"")</f>
        <v/>
      </c>
      <c r="O111" s="257" t="str">
        <f>IF(ISNUMBER(J111),IF(ISNA(VLOOKUP(J111,Forest_data[#All],6,FALSE)),#N/A, VLOOKUP(J111,Forest_data[#All],6,FALSE)),"")</f>
        <v/>
      </c>
      <c r="P111" s="257" t="str">
        <f t="shared" si="15"/>
        <v/>
      </c>
      <c r="Q111" s="257" t="str">
        <f t="shared" si="8"/>
        <v/>
      </c>
      <c r="R111" s="257" t="str">
        <f t="shared" si="13"/>
        <v/>
      </c>
      <c r="S111" s="283" t="str">
        <f t="shared" si="9"/>
        <v/>
      </c>
      <c r="T111" s="258" t="str">
        <f t="shared" si="10"/>
        <v/>
      </c>
      <c r="U111" s="257" t="str">
        <f t="shared" si="11"/>
        <v/>
      </c>
      <c r="V111" s="257" t="str">
        <f t="shared" si="14"/>
        <v/>
      </c>
      <c r="W111" s="283" t="str">
        <f t="shared" si="12"/>
        <v/>
      </c>
      <c r="X111" s="253"/>
      <c r="Y111" s="253"/>
      <c r="Z111" s="253"/>
      <c r="AA111" s="253"/>
      <c r="AB111" s="253"/>
      <c r="AC111" s="253"/>
      <c r="AD111" s="253"/>
      <c r="AE111" s="253"/>
      <c r="AF111" s="253"/>
      <c r="AG111" s="253"/>
      <c r="AH111" s="253"/>
      <c r="AI111" s="253"/>
      <c r="AJ111" s="253"/>
      <c r="AK111" s="253"/>
      <c r="AL111" s="253"/>
      <c r="AM111" s="253"/>
      <c r="AN111" s="253"/>
      <c r="AO111" s="253"/>
      <c r="AP111" s="253"/>
      <c r="AQ111" s="253"/>
      <c r="AR111" s="253"/>
      <c r="AS111" s="253"/>
      <c r="AT111" s="253"/>
      <c r="AU111" s="253"/>
      <c r="AV111" s="59"/>
    </row>
    <row r="112" spans="2:48" ht="19.5" customHeight="1" x14ac:dyDescent="0.25">
      <c r="B112" s="259"/>
      <c r="C112" s="276"/>
      <c r="D112" s="276"/>
      <c r="E112" s="276"/>
      <c r="F112" s="276"/>
      <c r="I112" s="83">
        <v>97</v>
      </c>
      <c r="J112" s="255" t="str">
        <f>IF(I112&lt;=MAX(Forest_data[Age]),I112,"")</f>
        <v/>
      </c>
      <c r="K112" s="256" t="str">
        <f>IF(ISNUMBER(J112),LOOKUP(J112, Forest_data[[#All],[Age]],Forest_data[[#All],[Number of trees per ha]]),"")</f>
        <v/>
      </c>
      <c r="L112" s="257" t="str">
        <f>IF(ISNUMBER(J112),IF(ISNA(VLOOKUP(J112,Forest_data[#All],3,FALSE)),#N/A, VLOOKUP(J112,Forest_data[#All],3,FALSE)),"")</f>
        <v/>
      </c>
      <c r="M112" s="257" t="str">
        <f>IF(ISNUMBER(J112),IF(ISNA(VLOOKUP(J112,Forest_data[#All],4,FALSE)),#N/A, VLOOKUP(J112,Forest_data[#All],4,FALSE)),"")</f>
        <v/>
      </c>
      <c r="N112" s="257" t="str">
        <f>IF(ISNUMBER(J112),IF(ISNA(VLOOKUP(J112,Forest_data[#All],5,FALSE)),#N/A, VLOOKUP(J112,Forest_data[#All],5,FALSE)),"")</f>
        <v/>
      </c>
      <c r="O112" s="257" t="str">
        <f>IF(ISNUMBER(J112),IF(ISNA(VLOOKUP(J112,Forest_data[#All],6,FALSE)),#N/A, VLOOKUP(J112,Forest_data[#All],6,FALSE)),"")</f>
        <v/>
      </c>
      <c r="P112" s="257" t="str">
        <f t="shared" si="15"/>
        <v/>
      </c>
      <c r="Q112" s="257" t="str">
        <f t="shared" si="8"/>
        <v/>
      </c>
      <c r="R112" s="257" t="str">
        <f t="shared" si="13"/>
        <v/>
      </c>
      <c r="S112" s="283" t="str">
        <f t="shared" si="9"/>
        <v/>
      </c>
      <c r="T112" s="258" t="str">
        <f t="shared" si="10"/>
        <v/>
      </c>
      <c r="U112" s="257" t="str">
        <f t="shared" si="11"/>
        <v/>
      </c>
      <c r="V112" s="257" t="str">
        <f t="shared" si="14"/>
        <v/>
      </c>
      <c r="W112" s="283" t="str">
        <f t="shared" si="12"/>
        <v/>
      </c>
      <c r="X112" s="253"/>
      <c r="Y112" s="253"/>
      <c r="Z112" s="253"/>
      <c r="AA112" s="253"/>
      <c r="AB112" s="253"/>
      <c r="AC112" s="253"/>
      <c r="AD112" s="253"/>
      <c r="AE112" s="253"/>
      <c r="AF112" s="253"/>
      <c r="AG112" s="253"/>
      <c r="AH112" s="253"/>
      <c r="AI112" s="253"/>
      <c r="AJ112" s="253"/>
      <c r="AK112" s="253"/>
      <c r="AL112" s="253"/>
      <c r="AM112" s="253"/>
      <c r="AN112" s="253"/>
      <c r="AO112" s="253"/>
      <c r="AP112" s="253"/>
      <c r="AQ112" s="253"/>
      <c r="AR112" s="253"/>
      <c r="AS112" s="253"/>
      <c r="AT112" s="253"/>
      <c r="AU112" s="253"/>
      <c r="AV112" s="59"/>
    </row>
    <row r="113" spans="2:48" ht="19.5" customHeight="1" x14ac:dyDescent="0.25">
      <c r="B113" s="259"/>
      <c r="C113" s="276"/>
      <c r="D113" s="276"/>
      <c r="E113" s="276"/>
      <c r="F113" s="276"/>
      <c r="I113" s="83">
        <v>98</v>
      </c>
      <c r="J113" s="255" t="str">
        <f>IF(I113&lt;=MAX(Forest_data[Age]),I113,"")</f>
        <v/>
      </c>
      <c r="K113" s="256" t="str">
        <f>IF(ISNUMBER(J113),LOOKUP(J113, Forest_data[[#All],[Age]],Forest_data[[#All],[Number of trees per ha]]),"")</f>
        <v/>
      </c>
      <c r="L113" s="257" t="str">
        <f>IF(ISNUMBER(J113),IF(ISNA(VLOOKUP(J113,Forest_data[#All],3,FALSE)),#N/A, VLOOKUP(J113,Forest_data[#All],3,FALSE)),"")</f>
        <v/>
      </c>
      <c r="M113" s="257" t="str">
        <f>IF(ISNUMBER(J113),IF(ISNA(VLOOKUP(J113,Forest_data[#All],4,FALSE)),#N/A, VLOOKUP(J113,Forest_data[#All],4,FALSE)),"")</f>
        <v/>
      </c>
      <c r="N113" s="257" t="str">
        <f>IF(ISNUMBER(J113),IF(ISNA(VLOOKUP(J113,Forest_data[#All],5,FALSE)),#N/A, VLOOKUP(J113,Forest_data[#All],5,FALSE)),"")</f>
        <v/>
      </c>
      <c r="O113" s="257" t="str">
        <f>IF(ISNUMBER(J113),IF(ISNA(VLOOKUP(J113,Forest_data[#All],6,FALSE)),#N/A, VLOOKUP(J113,Forest_data[#All],6,FALSE)),"")</f>
        <v/>
      </c>
      <c r="P113" s="257" t="str">
        <f t="shared" si="15"/>
        <v/>
      </c>
      <c r="Q113" s="257" t="str">
        <f t="shared" si="8"/>
        <v/>
      </c>
      <c r="R113" s="257" t="str">
        <f t="shared" si="13"/>
        <v/>
      </c>
      <c r="S113" s="283" t="str">
        <f t="shared" si="9"/>
        <v/>
      </c>
      <c r="T113" s="258" t="str">
        <f t="shared" si="10"/>
        <v/>
      </c>
      <c r="U113" s="257" t="str">
        <f t="shared" si="11"/>
        <v/>
      </c>
      <c r="V113" s="257" t="str">
        <f t="shared" si="14"/>
        <v/>
      </c>
      <c r="W113" s="283" t="str">
        <f t="shared" si="12"/>
        <v/>
      </c>
      <c r="X113" s="253"/>
      <c r="Y113" s="253"/>
      <c r="Z113" s="253"/>
      <c r="AA113" s="253"/>
      <c r="AB113" s="253"/>
      <c r="AC113" s="253"/>
      <c r="AD113" s="253"/>
      <c r="AE113" s="253"/>
      <c r="AF113" s="253"/>
      <c r="AG113" s="253"/>
      <c r="AH113" s="253"/>
      <c r="AI113" s="253"/>
      <c r="AJ113" s="253"/>
      <c r="AK113" s="253"/>
      <c r="AL113" s="253"/>
      <c r="AM113" s="253"/>
      <c r="AN113" s="253"/>
      <c r="AO113" s="253"/>
      <c r="AP113" s="253"/>
      <c r="AQ113" s="253"/>
      <c r="AR113" s="253"/>
      <c r="AS113" s="253"/>
      <c r="AT113" s="253"/>
      <c r="AU113" s="253"/>
      <c r="AV113" s="59"/>
    </row>
    <row r="114" spans="2:48" ht="19.5" customHeight="1" x14ac:dyDescent="0.25">
      <c r="B114" s="259"/>
      <c r="C114" s="276"/>
      <c r="D114" s="276"/>
      <c r="E114" s="276"/>
      <c r="F114" s="276"/>
      <c r="I114" s="260">
        <v>99</v>
      </c>
      <c r="J114" s="255" t="str">
        <f>IF(I114&lt;=MAX(Forest_data[Age]),I114,"")</f>
        <v/>
      </c>
      <c r="K114" s="256" t="str">
        <f>IF(ISNUMBER(J114),LOOKUP(J114, Forest_data[[#All],[Age]],Forest_data[[#All],[Number of trees per ha]]),"")</f>
        <v/>
      </c>
      <c r="L114" s="257" t="str">
        <f>IF(ISNUMBER(J114),IF(ISNA(VLOOKUP(J114,Forest_data[#All],3,FALSE)),#N/A, VLOOKUP(J114,Forest_data[#All],3,FALSE)),"")</f>
        <v/>
      </c>
      <c r="M114" s="257" t="str">
        <f>IF(ISNUMBER(J114),IF(ISNA(VLOOKUP(J114,Forest_data[#All],4,FALSE)),#N/A, VLOOKUP(J114,Forest_data[#All],4,FALSE)),"")</f>
        <v/>
      </c>
      <c r="N114" s="257" t="str">
        <f>IF(ISNUMBER(J114),IF(ISNA(VLOOKUP(J114,Forest_data[#All],5,FALSE)),#N/A, VLOOKUP(J114,Forest_data[#All],5,FALSE)),"")</f>
        <v/>
      </c>
      <c r="O114" s="257" t="str">
        <f>IF(ISNUMBER(J114),IF(ISNA(VLOOKUP(J114,Forest_data[#All],6,FALSE)),#N/A, VLOOKUP(J114,Forest_data[#All],6,FALSE)),"")</f>
        <v/>
      </c>
      <c r="P114" s="257" t="str">
        <f t="shared" si="15"/>
        <v/>
      </c>
      <c r="Q114" s="257" t="str">
        <f t="shared" si="8"/>
        <v/>
      </c>
      <c r="R114" s="257" t="str">
        <f t="shared" si="13"/>
        <v/>
      </c>
      <c r="S114" s="283" t="str">
        <f t="shared" si="9"/>
        <v/>
      </c>
      <c r="T114" s="258" t="str">
        <f t="shared" si="10"/>
        <v/>
      </c>
      <c r="U114" s="257" t="str">
        <f t="shared" si="11"/>
        <v/>
      </c>
      <c r="V114" s="257" t="str">
        <f t="shared" si="14"/>
        <v/>
      </c>
      <c r="W114" s="283" t="str">
        <f t="shared" si="12"/>
        <v/>
      </c>
      <c r="X114" s="253"/>
      <c r="Y114" s="253"/>
      <c r="Z114" s="253"/>
      <c r="AA114" s="253"/>
      <c r="AB114" s="253"/>
      <c r="AC114" s="253"/>
      <c r="AD114" s="253"/>
      <c r="AE114" s="253"/>
      <c r="AF114" s="253"/>
      <c r="AG114" s="253"/>
      <c r="AH114" s="253"/>
      <c r="AI114" s="253"/>
      <c r="AJ114" s="253"/>
      <c r="AK114" s="253"/>
      <c r="AL114" s="253"/>
      <c r="AM114" s="253"/>
      <c r="AN114" s="253"/>
      <c r="AO114" s="253"/>
      <c r="AP114" s="253"/>
      <c r="AQ114" s="253"/>
      <c r="AR114" s="253"/>
      <c r="AS114" s="253"/>
      <c r="AT114" s="253"/>
      <c r="AU114" s="253"/>
      <c r="AV114" s="59"/>
    </row>
    <row r="115" spans="2:48" ht="19.5" customHeight="1" x14ac:dyDescent="0.25">
      <c r="B115" s="259"/>
      <c r="C115" s="276"/>
      <c r="D115" s="276"/>
      <c r="E115" s="276"/>
      <c r="F115" s="276"/>
      <c r="I115" s="83">
        <v>100</v>
      </c>
      <c r="J115" s="255" t="str">
        <f>IF(I115&lt;=MAX(Forest_data[Age]),I115,"")</f>
        <v/>
      </c>
      <c r="K115" s="256" t="str">
        <f>IF(ISNUMBER(J115),LOOKUP(J115, Forest_data[[#All],[Age]],Forest_data[[#All],[Number of trees per ha]]),"")</f>
        <v/>
      </c>
      <c r="L115" s="257" t="str">
        <f>IF(ISNUMBER(J115),IF(ISNA(VLOOKUP(J115,Forest_data[#All],3,FALSE)),#N/A, VLOOKUP(J115,Forest_data[#All],3,FALSE)),"")</f>
        <v/>
      </c>
      <c r="M115" s="257" t="str">
        <f>IF(ISNUMBER(J115),IF(ISNA(VLOOKUP(J115,Forest_data[#All],4,FALSE)),#N/A, VLOOKUP(J115,Forest_data[#All],4,FALSE)),"")</f>
        <v/>
      </c>
      <c r="N115" s="257" t="str">
        <f>IF(ISNUMBER(J115),IF(ISNA(VLOOKUP(J115,Forest_data[#All],5,FALSE)),#N/A, VLOOKUP(J115,Forest_data[#All],5,FALSE)),"")</f>
        <v/>
      </c>
      <c r="O115" s="257" t="str">
        <f>IF(ISNUMBER(J115),IF(ISNA(VLOOKUP(J115,Forest_data[#All],6,FALSE)),#N/A, VLOOKUP(J115,Forest_data[#All],6,FALSE)),"")</f>
        <v/>
      </c>
      <c r="P115" s="257" t="str">
        <f t="shared" si="15"/>
        <v/>
      </c>
      <c r="Q115" s="257" t="str">
        <f t="shared" si="8"/>
        <v/>
      </c>
      <c r="R115" s="257" t="str">
        <f t="shared" si="13"/>
        <v/>
      </c>
      <c r="S115" s="283" t="str">
        <f t="shared" si="9"/>
        <v/>
      </c>
      <c r="T115" s="258" t="str">
        <f t="shared" si="10"/>
        <v/>
      </c>
      <c r="U115" s="257" t="str">
        <f t="shared" si="11"/>
        <v/>
      </c>
      <c r="V115" s="257" t="str">
        <f t="shared" si="14"/>
        <v/>
      </c>
      <c r="W115" s="283" t="str">
        <f t="shared" si="12"/>
        <v/>
      </c>
      <c r="X115" s="253"/>
      <c r="Y115" s="253"/>
      <c r="Z115" s="253"/>
      <c r="AA115" s="253"/>
      <c r="AB115" s="253"/>
      <c r="AC115" s="253"/>
      <c r="AD115" s="253"/>
      <c r="AE115" s="253"/>
      <c r="AF115" s="253"/>
      <c r="AG115" s="253"/>
      <c r="AH115" s="253"/>
      <c r="AI115" s="253"/>
      <c r="AJ115" s="253"/>
      <c r="AK115" s="253"/>
      <c r="AL115" s="253"/>
      <c r="AM115" s="253"/>
      <c r="AN115" s="253"/>
      <c r="AO115" s="253"/>
      <c r="AP115" s="253"/>
      <c r="AQ115" s="253"/>
      <c r="AR115" s="253"/>
      <c r="AS115" s="253"/>
      <c r="AT115" s="253"/>
      <c r="AU115" s="253"/>
      <c r="AV115" s="59"/>
    </row>
    <row r="116" spans="2:48" ht="19.5" customHeight="1" x14ac:dyDescent="0.25">
      <c r="B116" s="259"/>
      <c r="C116" s="276"/>
      <c r="D116" s="276"/>
      <c r="E116" s="276"/>
      <c r="F116" s="276"/>
      <c r="I116" s="83">
        <v>101</v>
      </c>
      <c r="J116" s="255" t="str">
        <f>IF(I116&lt;=MAX(Forest_data[Age]),I116,"")</f>
        <v/>
      </c>
      <c r="K116" s="256" t="str">
        <f>IF(ISNUMBER(J116),LOOKUP(J116, Forest_data[[#All],[Age]],Forest_data[[#All],[Number of trees per ha]]),"")</f>
        <v/>
      </c>
      <c r="L116" s="257" t="str">
        <f>IF(ISNUMBER(J116),IF(ISNA(VLOOKUP(J116,Forest_data[#All],3,FALSE)),#N/A, VLOOKUP(J116,Forest_data[#All],3,FALSE)),"")</f>
        <v/>
      </c>
      <c r="M116" s="257" t="str">
        <f>IF(ISNUMBER(J116),IF(ISNA(VLOOKUP(J116,Forest_data[#All],4,FALSE)),#N/A, VLOOKUP(J116,Forest_data[#All],4,FALSE)),"")</f>
        <v/>
      </c>
      <c r="N116" s="257" t="str">
        <f>IF(ISNUMBER(J116),IF(ISNA(VLOOKUP(J116,Forest_data[#All],5,FALSE)),#N/A, VLOOKUP(J116,Forest_data[#All],5,FALSE)),"")</f>
        <v/>
      </c>
      <c r="O116" s="257" t="str">
        <f>IF(ISNUMBER(J116),IF(ISNA(VLOOKUP(J116,Forest_data[#All],6,FALSE)),#N/A, VLOOKUP(J116,Forest_data[#All],6,FALSE)),"")</f>
        <v/>
      </c>
      <c r="P116" s="257" t="str">
        <f t="shared" si="15"/>
        <v/>
      </c>
      <c r="Q116" s="257" t="str">
        <f t="shared" si="8"/>
        <v/>
      </c>
      <c r="R116" s="257" t="str">
        <f t="shared" si="13"/>
        <v/>
      </c>
      <c r="S116" s="283" t="str">
        <f t="shared" si="9"/>
        <v/>
      </c>
      <c r="T116" s="258" t="str">
        <f t="shared" si="10"/>
        <v/>
      </c>
      <c r="U116" s="257" t="str">
        <f t="shared" si="11"/>
        <v/>
      </c>
      <c r="V116" s="257" t="str">
        <f t="shared" si="14"/>
        <v/>
      </c>
      <c r="W116" s="283" t="str">
        <f t="shared" si="12"/>
        <v/>
      </c>
      <c r="X116" s="253"/>
      <c r="Y116" s="253"/>
      <c r="Z116" s="253"/>
      <c r="AA116" s="253"/>
      <c r="AB116" s="253"/>
      <c r="AC116" s="253"/>
      <c r="AD116" s="253"/>
      <c r="AE116" s="253"/>
      <c r="AF116" s="253"/>
      <c r="AG116" s="253"/>
      <c r="AH116" s="253"/>
      <c r="AI116" s="253"/>
      <c r="AJ116" s="253"/>
      <c r="AK116" s="253"/>
      <c r="AL116" s="253"/>
      <c r="AM116" s="253"/>
      <c r="AN116" s="253"/>
      <c r="AO116" s="253"/>
      <c r="AP116" s="253"/>
      <c r="AQ116" s="253"/>
      <c r="AR116" s="253"/>
      <c r="AS116" s="253"/>
      <c r="AT116" s="253"/>
      <c r="AU116" s="253"/>
      <c r="AV116" s="59"/>
    </row>
    <row r="117" spans="2:48" ht="19.5" customHeight="1" x14ac:dyDescent="0.25">
      <c r="B117" s="259"/>
      <c r="C117" s="276"/>
      <c r="D117" s="276"/>
      <c r="E117" s="276"/>
      <c r="F117" s="276"/>
      <c r="I117" s="83">
        <v>102</v>
      </c>
      <c r="J117" s="255" t="str">
        <f>IF(I117&lt;=MAX(Forest_data[Age]),I117,"")</f>
        <v/>
      </c>
      <c r="K117" s="256" t="str">
        <f>IF(ISNUMBER(J117),LOOKUP(J117, Forest_data[[#All],[Age]],Forest_data[[#All],[Number of trees per ha]]),"")</f>
        <v/>
      </c>
      <c r="L117" s="257" t="str">
        <f>IF(ISNUMBER(J117),IF(ISNA(VLOOKUP(J117,Forest_data[#All],3,FALSE)),#N/A, VLOOKUP(J117,Forest_data[#All],3,FALSE)),"")</f>
        <v/>
      </c>
      <c r="M117" s="257" t="str">
        <f>IF(ISNUMBER(J117),IF(ISNA(VLOOKUP(J117,Forest_data[#All],4,FALSE)),#N/A, VLOOKUP(J117,Forest_data[#All],4,FALSE)),"")</f>
        <v/>
      </c>
      <c r="N117" s="257" t="str">
        <f>IF(ISNUMBER(J117),IF(ISNA(VLOOKUP(J117,Forest_data[#All],5,FALSE)),#N/A, VLOOKUP(J117,Forest_data[#All],5,FALSE)),"")</f>
        <v/>
      </c>
      <c r="O117" s="257" t="str">
        <f>IF(ISNUMBER(J117),IF(ISNA(VLOOKUP(J117,Forest_data[#All],6,FALSE)),#N/A, VLOOKUP(J117,Forest_data[#All],6,FALSE)),"")</f>
        <v/>
      </c>
      <c r="P117" s="257" t="str">
        <f t="shared" si="15"/>
        <v/>
      </c>
      <c r="Q117" s="257" t="str">
        <f t="shared" si="8"/>
        <v/>
      </c>
      <c r="R117" s="257" t="str">
        <f t="shared" si="13"/>
        <v/>
      </c>
      <c r="S117" s="283" t="str">
        <f t="shared" si="9"/>
        <v/>
      </c>
      <c r="T117" s="258" t="str">
        <f t="shared" si="10"/>
        <v/>
      </c>
      <c r="U117" s="257" t="str">
        <f t="shared" si="11"/>
        <v/>
      </c>
      <c r="V117" s="257" t="str">
        <f t="shared" si="14"/>
        <v/>
      </c>
      <c r="W117" s="283" t="str">
        <f t="shared" si="12"/>
        <v/>
      </c>
      <c r="X117" s="253"/>
      <c r="Y117" s="253"/>
      <c r="Z117" s="253"/>
      <c r="AA117" s="253"/>
      <c r="AB117" s="253"/>
      <c r="AC117" s="253"/>
      <c r="AD117" s="253"/>
      <c r="AE117" s="253"/>
      <c r="AF117" s="253"/>
      <c r="AG117" s="253"/>
      <c r="AH117" s="253"/>
      <c r="AI117" s="253"/>
      <c r="AJ117" s="253"/>
      <c r="AK117" s="253"/>
      <c r="AL117" s="253"/>
      <c r="AM117" s="253"/>
      <c r="AN117" s="253"/>
      <c r="AO117" s="253"/>
      <c r="AP117" s="253"/>
      <c r="AQ117" s="253"/>
      <c r="AR117" s="253"/>
      <c r="AS117" s="253"/>
      <c r="AT117" s="253"/>
      <c r="AU117" s="253"/>
      <c r="AV117" s="59"/>
    </row>
    <row r="118" spans="2:48" ht="19.5" customHeight="1" x14ac:dyDescent="0.25">
      <c r="B118" s="259"/>
      <c r="C118" s="276"/>
      <c r="D118" s="276"/>
      <c r="E118" s="276"/>
      <c r="F118" s="276"/>
      <c r="I118" s="260">
        <v>103</v>
      </c>
      <c r="J118" s="255" t="str">
        <f>IF(I118&lt;=MAX(Forest_data[Age]),I118,"")</f>
        <v/>
      </c>
      <c r="K118" s="256" t="str">
        <f>IF(ISNUMBER(J118),LOOKUP(J118, Forest_data[[#All],[Age]],Forest_data[[#All],[Number of trees per ha]]),"")</f>
        <v/>
      </c>
      <c r="L118" s="257" t="str">
        <f>IF(ISNUMBER(J118),IF(ISNA(VLOOKUP(J118,Forest_data[#All],3,FALSE)),#N/A, VLOOKUP(J118,Forest_data[#All],3,FALSE)),"")</f>
        <v/>
      </c>
      <c r="M118" s="257" t="str">
        <f>IF(ISNUMBER(J118),IF(ISNA(VLOOKUP(J118,Forest_data[#All],4,FALSE)),#N/A, VLOOKUP(J118,Forest_data[#All],4,FALSE)),"")</f>
        <v/>
      </c>
      <c r="N118" s="257" t="str">
        <f>IF(ISNUMBER(J118),IF(ISNA(VLOOKUP(J118,Forest_data[#All],5,FALSE)),#N/A, VLOOKUP(J118,Forest_data[#All],5,FALSE)),"")</f>
        <v/>
      </c>
      <c r="O118" s="257" t="str">
        <f>IF(ISNUMBER(J118),IF(ISNA(VLOOKUP(J118,Forest_data[#All],6,FALSE)),#N/A, VLOOKUP(J118,Forest_data[#All],6,FALSE)),"")</f>
        <v/>
      </c>
      <c r="P118" s="257" t="str">
        <f t="shared" si="15"/>
        <v/>
      </c>
      <c r="Q118" s="257" t="str">
        <f t="shared" si="8"/>
        <v/>
      </c>
      <c r="R118" s="257" t="str">
        <f t="shared" si="13"/>
        <v/>
      </c>
      <c r="S118" s="283" t="str">
        <f t="shared" si="9"/>
        <v/>
      </c>
      <c r="T118" s="258" t="str">
        <f t="shared" si="10"/>
        <v/>
      </c>
      <c r="U118" s="257" t="str">
        <f t="shared" si="11"/>
        <v/>
      </c>
      <c r="V118" s="257" t="str">
        <f t="shared" si="14"/>
        <v/>
      </c>
      <c r="W118" s="283" t="str">
        <f t="shared" si="12"/>
        <v/>
      </c>
      <c r="X118" s="253"/>
      <c r="Y118" s="253"/>
      <c r="Z118" s="253"/>
      <c r="AA118" s="253"/>
      <c r="AB118" s="253"/>
      <c r="AC118" s="253"/>
      <c r="AD118" s="253"/>
      <c r="AE118" s="253"/>
      <c r="AF118" s="253"/>
      <c r="AG118" s="253"/>
      <c r="AH118" s="253"/>
      <c r="AI118" s="253"/>
      <c r="AJ118" s="253"/>
      <c r="AK118" s="253"/>
      <c r="AL118" s="253"/>
      <c r="AM118" s="253"/>
      <c r="AN118" s="253"/>
      <c r="AO118" s="253"/>
      <c r="AP118" s="253"/>
      <c r="AQ118" s="253"/>
      <c r="AR118" s="253"/>
      <c r="AS118" s="253"/>
      <c r="AT118" s="253"/>
      <c r="AU118" s="253"/>
      <c r="AV118" s="59"/>
    </row>
    <row r="119" spans="2:48" ht="19.5" customHeight="1" x14ac:dyDescent="0.25">
      <c r="B119" s="259"/>
      <c r="C119" s="276"/>
      <c r="D119" s="276"/>
      <c r="E119" s="276"/>
      <c r="F119" s="276"/>
      <c r="I119" s="83">
        <v>104</v>
      </c>
      <c r="J119" s="255" t="str">
        <f>IF(I119&lt;=MAX(Forest_data[Age]),I119,"")</f>
        <v/>
      </c>
      <c r="K119" s="256" t="str">
        <f>IF(ISNUMBER(J119),LOOKUP(J119, Forest_data[[#All],[Age]],Forest_data[[#All],[Number of trees per ha]]),"")</f>
        <v/>
      </c>
      <c r="L119" s="257" t="str">
        <f>IF(ISNUMBER(J119),IF(ISNA(VLOOKUP(J119,Forest_data[#All],3,FALSE)),#N/A, VLOOKUP(J119,Forest_data[#All],3,FALSE)),"")</f>
        <v/>
      </c>
      <c r="M119" s="257" t="str">
        <f>IF(ISNUMBER(J119),IF(ISNA(VLOOKUP(J119,Forest_data[#All],4,FALSE)),#N/A, VLOOKUP(J119,Forest_data[#All],4,FALSE)),"")</f>
        <v/>
      </c>
      <c r="N119" s="257" t="str">
        <f>IF(ISNUMBER(J119),IF(ISNA(VLOOKUP(J119,Forest_data[#All],5,FALSE)),#N/A, VLOOKUP(J119,Forest_data[#All],5,FALSE)),"")</f>
        <v/>
      </c>
      <c r="O119" s="257" t="str">
        <f>IF(ISNUMBER(J119),IF(ISNA(VLOOKUP(J119,Forest_data[#All],6,FALSE)),#N/A, VLOOKUP(J119,Forest_data[#All],6,FALSE)),"")</f>
        <v/>
      </c>
      <c r="P119" s="257" t="str">
        <f t="shared" si="15"/>
        <v/>
      </c>
      <c r="Q119" s="257" t="str">
        <f t="shared" si="8"/>
        <v/>
      </c>
      <c r="R119" s="257" t="str">
        <f t="shared" si="13"/>
        <v/>
      </c>
      <c r="S119" s="283" t="str">
        <f t="shared" si="9"/>
        <v/>
      </c>
      <c r="T119" s="258" t="str">
        <f t="shared" si="10"/>
        <v/>
      </c>
      <c r="U119" s="257" t="str">
        <f t="shared" si="11"/>
        <v/>
      </c>
      <c r="V119" s="257" t="str">
        <f t="shared" si="14"/>
        <v/>
      </c>
      <c r="W119" s="283" t="str">
        <f t="shared" si="12"/>
        <v/>
      </c>
      <c r="X119" s="253"/>
      <c r="Y119" s="253"/>
      <c r="Z119" s="253"/>
      <c r="AA119" s="253"/>
      <c r="AB119" s="253"/>
      <c r="AC119" s="253"/>
      <c r="AD119" s="253"/>
      <c r="AE119" s="253"/>
      <c r="AF119" s="253"/>
      <c r="AG119" s="253"/>
      <c r="AH119" s="253"/>
      <c r="AI119" s="253"/>
      <c r="AJ119" s="253"/>
      <c r="AK119" s="253"/>
      <c r="AL119" s="253"/>
      <c r="AM119" s="253"/>
      <c r="AN119" s="253"/>
      <c r="AO119" s="253"/>
      <c r="AP119" s="253"/>
      <c r="AQ119" s="253"/>
      <c r="AR119" s="253"/>
      <c r="AS119" s="253"/>
      <c r="AT119" s="253"/>
      <c r="AU119" s="253"/>
      <c r="AV119" s="59"/>
    </row>
    <row r="120" spans="2:48" ht="19.5" customHeight="1" x14ac:dyDescent="0.25">
      <c r="B120" s="259"/>
      <c r="C120" s="276"/>
      <c r="D120" s="276"/>
      <c r="E120" s="276"/>
      <c r="F120" s="276"/>
      <c r="I120" s="83">
        <v>105</v>
      </c>
      <c r="J120" s="255" t="str">
        <f>IF(I120&lt;=MAX(Forest_data[Age]),I120,"")</f>
        <v/>
      </c>
      <c r="K120" s="256" t="str">
        <f>IF(ISNUMBER(J120),LOOKUP(J120, Forest_data[[#All],[Age]],Forest_data[[#All],[Number of trees per ha]]),"")</f>
        <v/>
      </c>
      <c r="L120" s="257" t="str">
        <f>IF(ISNUMBER(J120),IF(ISNA(VLOOKUP(J120,Forest_data[#All],3,FALSE)),#N/A, VLOOKUP(J120,Forest_data[#All],3,FALSE)),"")</f>
        <v/>
      </c>
      <c r="M120" s="257" t="str">
        <f>IF(ISNUMBER(J120),IF(ISNA(VLOOKUP(J120,Forest_data[#All],4,FALSE)),#N/A, VLOOKUP(J120,Forest_data[#All],4,FALSE)),"")</f>
        <v/>
      </c>
      <c r="N120" s="257" t="str">
        <f>IF(ISNUMBER(J120),IF(ISNA(VLOOKUP(J120,Forest_data[#All],5,FALSE)),#N/A, VLOOKUP(J120,Forest_data[#All],5,FALSE)),"")</f>
        <v/>
      </c>
      <c r="O120" s="257" t="str">
        <f>IF(ISNUMBER(J120),IF(ISNA(VLOOKUP(J120,Forest_data[#All],6,FALSE)),#N/A, VLOOKUP(J120,Forest_data[#All],6,FALSE)),"")</f>
        <v/>
      </c>
      <c r="P120" s="257" t="str">
        <f t="shared" si="15"/>
        <v/>
      </c>
      <c r="Q120" s="257" t="str">
        <f t="shared" si="8"/>
        <v/>
      </c>
      <c r="R120" s="257" t="str">
        <f t="shared" si="13"/>
        <v/>
      </c>
      <c r="S120" s="283" t="str">
        <f t="shared" si="9"/>
        <v/>
      </c>
      <c r="T120" s="258" t="str">
        <f t="shared" si="10"/>
        <v/>
      </c>
      <c r="U120" s="257" t="str">
        <f t="shared" si="11"/>
        <v/>
      </c>
      <c r="V120" s="257" t="str">
        <f t="shared" si="14"/>
        <v/>
      </c>
      <c r="W120" s="283" t="str">
        <f t="shared" si="12"/>
        <v/>
      </c>
      <c r="X120" s="253"/>
      <c r="Y120" s="253"/>
      <c r="Z120" s="253"/>
      <c r="AA120" s="253"/>
      <c r="AB120" s="253"/>
      <c r="AC120" s="253"/>
      <c r="AD120" s="253"/>
      <c r="AE120" s="253"/>
      <c r="AF120" s="253"/>
      <c r="AG120" s="253"/>
      <c r="AH120" s="253"/>
      <c r="AI120" s="253"/>
      <c r="AJ120" s="253"/>
      <c r="AK120" s="253"/>
      <c r="AL120" s="253"/>
      <c r="AM120" s="253"/>
      <c r="AN120" s="253"/>
      <c r="AO120" s="253"/>
      <c r="AP120" s="253"/>
      <c r="AQ120" s="253"/>
      <c r="AR120" s="253"/>
      <c r="AS120" s="253"/>
      <c r="AT120" s="253"/>
      <c r="AU120" s="253"/>
      <c r="AV120" s="59"/>
    </row>
    <row r="121" spans="2:48" ht="19.5" customHeight="1" x14ac:dyDescent="0.25">
      <c r="B121" s="259"/>
      <c r="C121" s="276"/>
      <c r="D121" s="276"/>
      <c r="E121" s="276"/>
      <c r="F121" s="276"/>
      <c r="I121" s="83">
        <v>106</v>
      </c>
      <c r="J121" s="255" t="str">
        <f>IF(I121&lt;=MAX(Forest_data[Age]),I121,"")</f>
        <v/>
      </c>
      <c r="K121" s="256" t="str">
        <f>IF(ISNUMBER(J121),LOOKUP(J121, Forest_data[[#All],[Age]],Forest_data[[#All],[Number of trees per ha]]),"")</f>
        <v/>
      </c>
      <c r="L121" s="257" t="str">
        <f>IF(ISNUMBER(J121),IF(ISNA(VLOOKUP(J121,Forest_data[#All],3,FALSE)),#N/A, VLOOKUP(J121,Forest_data[#All],3,FALSE)),"")</f>
        <v/>
      </c>
      <c r="M121" s="257" t="str">
        <f>IF(ISNUMBER(J121),IF(ISNA(VLOOKUP(J121,Forest_data[#All],4,FALSE)),#N/A, VLOOKUP(J121,Forest_data[#All],4,FALSE)),"")</f>
        <v/>
      </c>
      <c r="N121" s="257" t="str">
        <f>IF(ISNUMBER(J121),IF(ISNA(VLOOKUP(J121,Forest_data[#All],5,FALSE)),#N/A, VLOOKUP(J121,Forest_data[#All],5,FALSE)),"")</f>
        <v/>
      </c>
      <c r="O121" s="257" t="str">
        <f>IF(ISNUMBER(J121),IF(ISNA(VLOOKUP(J121,Forest_data[#All],6,FALSE)),#N/A, VLOOKUP(J121,Forest_data[#All],6,FALSE)),"")</f>
        <v/>
      </c>
      <c r="P121" s="257" t="str">
        <f t="shared" si="15"/>
        <v/>
      </c>
      <c r="Q121" s="257" t="str">
        <f t="shared" si="8"/>
        <v/>
      </c>
      <c r="R121" s="257" t="str">
        <f t="shared" si="13"/>
        <v/>
      </c>
      <c r="S121" s="283" t="str">
        <f t="shared" si="9"/>
        <v/>
      </c>
      <c r="T121" s="258" t="str">
        <f t="shared" si="10"/>
        <v/>
      </c>
      <c r="U121" s="257" t="str">
        <f t="shared" si="11"/>
        <v/>
      </c>
      <c r="V121" s="257" t="str">
        <f t="shared" si="14"/>
        <v/>
      </c>
      <c r="W121" s="283" t="str">
        <f t="shared" si="12"/>
        <v/>
      </c>
      <c r="X121" s="253"/>
      <c r="Y121" s="253"/>
      <c r="Z121" s="253"/>
      <c r="AA121" s="253"/>
      <c r="AB121" s="253"/>
      <c r="AC121" s="253"/>
      <c r="AD121" s="253"/>
      <c r="AE121" s="253"/>
      <c r="AF121" s="253"/>
      <c r="AG121" s="253"/>
      <c r="AH121" s="253"/>
      <c r="AI121" s="253"/>
      <c r="AJ121" s="253"/>
      <c r="AK121" s="253"/>
      <c r="AL121" s="253"/>
      <c r="AM121" s="253"/>
      <c r="AN121" s="253"/>
      <c r="AO121" s="253"/>
      <c r="AP121" s="253"/>
      <c r="AQ121" s="253"/>
      <c r="AR121" s="253"/>
      <c r="AS121" s="253"/>
      <c r="AT121" s="253"/>
      <c r="AU121" s="253"/>
      <c r="AV121" s="59"/>
    </row>
    <row r="122" spans="2:48" ht="19.5" customHeight="1" x14ac:dyDescent="0.25">
      <c r="B122" s="259"/>
      <c r="C122" s="276"/>
      <c r="D122" s="276"/>
      <c r="E122" s="276"/>
      <c r="F122" s="276"/>
      <c r="I122" s="83">
        <v>107</v>
      </c>
      <c r="J122" s="255" t="str">
        <f>IF(I122&lt;=MAX(Forest_data[Age]),I122,"")</f>
        <v/>
      </c>
      <c r="K122" s="256" t="str">
        <f>IF(ISNUMBER(J122),LOOKUP(J122, Forest_data[[#All],[Age]],Forest_data[[#All],[Number of trees per ha]]),"")</f>
        <v/>
      </c>
      <c r="L122" s="257" t="str">
        <f>IF(ISNUMBER(J122),IF(ISNA(VLOOKUP(J122,Forest_data[#All],3,FALSE)),#N/A, VLOOKUP(J122,Forest_data[#All],3,FALSE)),"")</f>
        <v/>
      </c>
      <c r="M122" s="257" t="str">
        <f>IF(ISNUMBER(J122),IF(ISNA(VLOOKUP(J122,Forest_data[#All],4,FALSE)),#N/A, VLOOKUP(J122,Forest_data[#All],4,FALSE)),"")</f>
        <v/>
      </c>
      <c r="N122" s="257" t="str">
        <f>IF(ISNUMBER(J122),IF(ISNA(VLOOKUP(J122,Forest_data[#All],5,FALSE)),#N/A, VLOOKUP(J122,Forest_data[#All],5,FALSE)),"")</f>
        <v/>
      </c>
      <c r="O122" s="257" t="str">
        <f>IF(ISNUMBER(J122),IF(ISNA(VLOOKUP(J122,Forest_data[#All],6,FALSE)),#N/A, VLOOKUP(J122,Forest_data[#All],6,FALSE)),"")</f>
        <v/>
      </c>
      <c r="P122" s="257" t="str">
        <f t="shared" si="15"/>
        <v/>
      </c>
      <c r="Q122" s="257" t="str">
        <f t="shared" si="8"/>
        <v/>
      </c>
      <c r="R122" s="257" t="str">
        <f t="shared" si="13"/>
        <v/>
      </c>
      <c r="S122" s="283" t="str">
        <f t="shared" si="9"/>
        <v/>
      </c>
      <c r="T122" s="258" t="str">
        <f t="shared" si="10"/>
        <v/>
      </c>
      <c r="U122" s="257" t="str">
        <f t="shared" si="11"/>
        <v/>
      </c>
      <c r="V122" s="257" t="str">
        <f t="shared" si="14"/>
        <v/>
      </c>
      <c r="W122" s="283" t="str">
        <f t="shared" si="12"/>
        <v/>
      </c>
      <c r="X122" s="253"/>
      <c r="Y122" s="253"/>
      <c r="Z122" s="253"/>
      <c r="AA122" s="253"/>
      <c r="AB122" s="253"/>
      <c r="AC122" s="253"/>
      <c r="AD122" s="253"/>
      <c r="AE122" s="253"/>
      <c r="AF122" s="253"/>
      <c r="AG122" s="253"/>
      <c r="AH122" s="253"/>
      <c r="AI122" s="253"/>
      <c r="AJ122" s="253"/>
      <c r="AK122" s="253"/>
      <c r="AL122" s="253"/>
      <c r="AM122" s="253"/>
      <c r="AN122" s="253"/>
      <c r="AO122" s="253"/>
      <c r="AP122" s="253"/>
      <c r="AQ122" s="253"/>
      <c r="AR122" s="253"/>
      <c r="AS122" s="253"/>
      <c r="AT122" s="253"/>
      <c r="AU122" s="253"/>
      <c r="AV122" s="59"/>
    </row>
    <row r="123" spans="2:48" ht="19.5" customHeight="1" x14ac:dyDescent="0.25">
      <c r="B123" s="259"/>
      <c r="C123" s="276"/>
      <c r="D123" s="276"/>
      <c r="E123" s="276"/>
      <c r="F123" s="276"/>
      <c r="I123" s="260">
        <v>108</v>
      </c>
      <c r="J123" s="255" t="str">
        <f>IF(I123&lt;=MAX(Forest_data[Age]),I123,"")</f>
        <v/>
      </c>
      <c r="K123" s="256" t="str">
        <f>IF(ISNUMBER(J123),LOOKUP(J123, Forest_data[[#All],[Age]],Forest_data[[#All],[Number of trees per ha]]),"")</f>
        <v/>
      </c>
      <c r="L123" s="257" t="str">
        <f>IF(ISNUMBER(J123),IF(ISNA(VLOOKUP(J123,Forest_data[#All],3,FALSE)),#N/A, VLOOKUP(J123,Forest_data[#All],3,FALSE)),"")</f>
        <v/>
      </c>
      <c r="M123" s="257" t="str">
        <f>IF(ISNUMBER(J123),IF(ISNA(VLOOKUP(J123,Forest_data[#All],4,FALSE)),#N/A, VLOOKUP(J123,Forest_data[#All],4,FALSE)),"")</f>
        <v/>
      </c>
      <c r="N123" s="257" t="str">
        <f>IF(ISNUMBER(J123),IF(ISNA(VLOOKUP(J123,Forest_data[#All],5,FALSE)),#N/A, VLOOKUP(J123,Forest_data[#All],5,FALSE)),"")</f>
        <v/>
      </c>
      <c r="O123" s="257" t="str">
        <f>IF(ISNUMBER(J123),IF(ISNA(VLOOKUP(J123,Forest_data[#All],6,FALSE)),#N/A, VLOOKUP(J123,Forest_data[#All],6,FALSE)),"")</f>
        <v/>
      </c>
      <c r="P123" s="257" t="str">
        <f t="shared" si="15"/>
        <v/>
      </c>
      <c r="Q123" s="257" t="str">
        <f t="shared" si="8"/>
        <v/>
      </c>
      <c r="R123" s="257" t="str">
        <f t="shared" si="13"/>
        <v/>
      </c>
      <c r="S123" s="283" t="str">
        <f t="shared" si="9"/>
        <v/>
      </c>
      <c r="T123" s="258" t="str">
        <f t="shared" si="10"/>
        <v/>
      </c>
      <c r="U123" s="257" t="str">
        <f t="shared" si="11"/>
        <v/>
      </c>
      <c r="V123" s="257" t="str">
        <f t="shared" si="14"/>
        <v/>
      </c>
      <c r="W123" s="283" t="str">
        <f t="shared" si="12"/>
        <v/>
      </c>
      <c r="X123" s="253"/>
      <c r="Y123" s="253"/>
      <c r="Z123" s="253"/>
      <c r="AA123" s="253"/>
      <c r="AB123" s="253"/>
      <c r="AC123" s="253"/>
      <c r="AD123" s="253"/>
      <c r="AE123" s="253"/>
      <c r="AF123" s="253"/>
      <c r="AG123" s="253"/>
      <c r="AH123" s="253"/>
      <c r="AI123" s="253"/>
      <c r="AJ123" s="253"/>
      <c r="AK123" s="253"/>
      <c r="AL123" s="253"/>
      <c r="AM123" s="253"/>
      <c r="AN123" s="253"/>
      <c r="AO123" s="253"/>
      <c r="AP123" s="253"/>
      <c r="AQ123" s="253"/>
      <c r="AR123" s="253"/>
      <c r="AS123" s="253"/>
      <c r="AT123" s="253"/>
      <c r="AU123" s="253"/>
      <c r="AV123" s="59"/>
    </row>
    <row r="124" spans="2:48" ht="19.5" customHeight="1" x14ac:dyDescent="0.25">
      <c r="B124" s="259"/>
      <c r="C124" s="276"/>
      <c r="D124" s="276"/>
      <c r="E124" s="276"/>
      <c r="F124" s="276"/>
      <c r="I124" s="83">
        <v>109</v>
      </c>
      <c r="J124" s="255" t="str">
        <f>IF(I124&lt;=MAX(Forest_data[Age]),I124,"")</f>
        <v/>
      </c>
      <c r="K124" s="256" t="str">
        <f>IF(ISNUMBER(J124),LOOKUP(J124, Forest_data[[#All],[Age]],Forest_data[[#All],[Number of trees per ha]]),"")</f>
        <v/>
      </c>
      <c r="L124" s="257" t="str">
        <f>IF(ISNUMBER(J124),IF(ISNA(VLOOKUP(J124,Forest_data[#All],3,FALSE)),#N/A, VLOOKUP(J124,Forest_data[#All],3,FALSE)),"")</f>
        <v/>
      </c>
      <c r="M124" s="257" t="str">
        <f>IF(ISNUMBER(J124),IF(ISNA(VLOOKUP(J124,Forest_data[#All],4,FALSE)),#N/A, VLOOKUP(J124,Forest_data[#All],4,FALSE)),"")</f>
        <v/>
      </c>
      <c r="N124" s="257" t="str">
        <f>IF(ISNUMBER(J124),IF(ISNA(VLOOKUP(J124,Forest_data[#All],5,FALSE)),#N/A, VLOOKUP(J124,Forest_data[#All],5,FALSE)),"")</f>
        <v/>
      </c>
      <c r="O124" s="257" t="str">
        <f>IF(ISNUMBER(J124),IF(ISNA(VLOOKUP(J124,Forest_data[#All],6,FALSE)),#N/A, VLOOKUP(J124,Forest_data[#All],6,FALSE)),"")</f>
        <v/>
      </c>
      <c r="P124" s="257" t="str">
        <f t="shared" si="15"/>
        <v/>
      </c>
      <c r="Q124" s="257" t="str">
        <f t="shared" si="8"/>
        <v/>
      </c>
      <c r="R124" s="257" t="str">
        <f t="shared" si="13"/>
        <v/>
      </c>
      <c r="S124" s="283" t="str">
        <f t="shared" si="9"/>
        <v/>
      </c>
      <c r="T124" s="258" t="str">
        <f t="shared" si="10"/>
        <v/>
      </c>
      <c r="U124" s="257" t="str">
        <f t="shared" si="11"/>
        <v/>
      </c>
      <c r="V124" s="257" t="str">
        <f t="shared" si="14"/>
        <v/>
      </c>
      <c r="W124" s="283" t="str">
        <f t="shared" si="12"/>
        <v/>
      </c>
      <c r="X124" s="253"/>
      <c r="Y124" s="253"/>
      <c r="Z124" s="253"/>
      <c r="AA124" s="253"/>
      <c r="AB124" s="253"/>
      <c r="AC124" s="253"/>
      <c r="AD124" s="253"/>
      <c r="AE124" s="253"/>
      <c r="AF124" s="253"/>
      <c r="AG124" s="253"/>
      <c r="AH124" s="253"/>
      <c r="AI124" s="253"/>
      <c r="AJ124" s="253"/>
      <c r="AK124" s="253"/>
      <c r="AL124" s="253"/>
      <c r="AM124" s="253"/>
      <c r="AN124" s="253"/>
      <c r="AO124" s="253"/>
      <c r="AP124" s="253"/>
      <c r="AQ124" s="253"/>
      <c r="AR124" s="253"/>
      <c r="AS124" s="253"/>
      <c r="AT124" s="253"/>
      <c r="AU124" s="253"/>
      <c r="AV124" s="59"/>
    </row>
    <row r="125" spans="2:48" ht="19.5" customHeight="1" x14ac:dyDescent="0.25">
      <c r="B125" s="259"/>
      <c r="C125" s="276"/>
      <c r="D125" s="276"/>
      <c r="E125" s="276"/>
      <c r="F125" s="276"/>
      <c r="I125" s="83">
        <v>110</v>
      </c>
      <c r="J125" s="255" t="str">
        <f>IF(I125&lt;=MAX(Forest_data[Age]),I125,"")</f>
        <v/>
      </c>
      <c r="K125" s="256" t="str">
        <f>IF(ISNUMBER(J125),LOOKUP(J125, Forest_data[[#All],[Age]],Forest_data[[#All],[Number of trees per ha]]),"")</f>
        <v/>
      </c>
      <c r="L125" s="257" t="str">
        <f>IF(ISNUMBER(J125),IF(ISNA(VLOOKUP(J125,Forest_data[#All],3,FALSE)),#N/A, VLOOKUP(J125,Forest_data[#All],3,FALSE)),"")</f>
        <v/>
      </c>
      <c r="M125" s="257" t="str">
        <f>IF(ISNUMBER(J125),IF(ISNA(VLOOKUP(J125,Forest_data[#All],4,FALSE)),#N/A, VLOOKUP(J125,Forest_data[#All],4,FALSE)),"")</f>
        <v/>
      </c>
      <c r="N125" s="257" t="str">
        <f>IF(ISNUMBER(J125),IF(ISNA(VLOOKUP(J125,Forest_data[#All],5,FALSE)),#N/A, VLOOKUP(J125,Forest_data[#All],5,FALSE)),"")</f>
        <v/>
      </c>
      <c r="O125" s="257" t="str">
        <f>IF(ISNUMBER(J125),IF(ISNA(VLOOKUP(J125,Forest_data[#All],6,FALSE)),#N/A, VLOOKUP(J125,Forest_data[#All],6,FALSE)),"")</f>
        <v/>
      </c>
      <c r="P125" s="257" t="str">
        <f t="shared" si="15"/>
        <v/>
      </c>
      <c r="Q125" s="257" t="str">
        <f t="shared" si="8"/>
        <v/>
      </c>
      <c r="R125" s="257" t="str">
        <f t="shared" si="13"/>
        <v/>
      </c>
      <c r="S125" s="283" t="str">
        <f t="shared" si="9"/>
        <v/>
      </c>
      <c r="T125" s="258" t="str">
        <f t="shared" si="10"/>
        <v/>
      </c>
      <c r="U125" s="257" t="str">
        <f t="shared" si="11"/>
        <v/>
      </c>
      <c r="V125" s="257" t="str">
        <f t="shared" si="14"/>
        <v/>
      </c>
      <c r="W125" s="283" t="str">
        <f t="shared" si="12"/>
        <v/>
      </c>
      <c r="X125" s="253"/>
      <c r="Y125" s="253"/>
      <c r="Z125" s="253"/>
      <c r="AA125" s="253"/>
      <c r="AB125" s="253"/>
      <c r="AC125" s="253"/>
      <c r="AD125" s="253"/>
      <c r="AE125" s="253"/>
      <c r="AF125" s="253"/>
      <c r="AG125" s="253"/>
      <c r="AH125" s="253"/>
      <c r="AI125" s="253"/>
      <c r="AJ125" s="253"/>
      <c r="AK125" s="253"/>
      <c r="AL125" s="253"/>
      <c r="AM125" s="253"/>
      <c r="AN125" s="253"/>
      <c r="AO125" s="253"/>
      <c r="AP125" s="253"/>
      <c r="AQ125" s="253"/>
      <c r="AR125" s="253"/>
      <c r="AS125" s="253"/>
      <c r="AT125" s="253"/>
      <c r="AU125" s="253"/>
      <c r="AV125" s="59"/>
    </row>
    <row r="126" spans="2:48" ht="19.5" customHeight="1" x14ac:dyDescent="0.25">
      <c r="B126" s="259"/>
      <c r="C126" s="276"/>
      <c r="D126" s="276"/>
      <c r="E126" s="276"/>
      <c r="F126" s="276"/>
      <c r="I126" s="83">
        <v>111</v>
      </c>
      <c r="J126" s="255" t="str">
        <f>IF(I126&lt;=MAX(Forest_data[Age]),I126,"")</f>
        <v/>
      </c>
      <c r="K126" s="256" t="str">
        <f>IF(ISNUMBER(J126),LOOKUP(J126, Forest_data[[#All],[Age]],Forest_data[[#All],[Number of trees per ha]]),"")</f>
        <v/>
      </c>
      <c r="L126" s="257" t="str">
        <f>IF(ISNUMBER(J126),IF(ISNA(VLOOKUP(J126,Forest_data[#All],3,FALSE)),#N/A, VLOOKUP(J126,Forest_data[#All],3,FALSE)),"")</f>
        <v/>
      </c>
      <c r="M126" s="257" t="str">
        <f>IF(ISNUMBER(J126),IF(ISNA(VLOOKUP(J126,Forest_data[#All],4,FALSE)),#N/A, VLOOKUP(J126,Forest_data[#All],4,FALSE)),"")</f>
        <v/>
      </c>
      <c r="N126" s="257" t="str">
        <f>IF(ISNUMBER(J126),IF(ISNA(VLOOKUP(J126,Forest_data[#All],5,FALSE)),#N/A, VLOOKUP(J126,Forest_data[#All],5,FALSE)),"")</f>
        <v/>
      </c>
      <c r="O126" s="257" t="str">
        <f>IF(ISNUMBER(J126),IF(ISNA(VLOOKUP(J126,Forest_data[#All],6,FALSE)),#N/A, VLOOKUP(J126,Forest_data[#All],6,FALSE)),"")</f>
        <v/>
      </c>
      <c r="P126" s="257" t="str">
        <f t="shared" si="15"/>
        <v/>
      </c>
      <c r="Q126" s="257" t="str">
        <f t="shared" si="8"/>
        <v/>
      </c>
      <c r="R126" s="257" t="str">
        <f t="shared" si="13"/>
        <v/>
      </c>
      <c r="S126" s="283" t="str">
        <f t="shared" si="9"/>
        <v/>
      </c>
      <c r="T126" s="258" t="str">
        <f t="shared" si="10"/>
        <v/>
      </c>
      <c r="U126" s="257" t="str">
        <f t="shared" si="11"/>
        <v/>
      </c>
      <c r="V126" s="257" t="str">
        <f t="shared" si="14"/>
        <v/>
      </c>
      <c r="W126" s="283" t="str">
        <f t="shared" si="12"/>
        <v/>
      </c>
      <c r="X126" s="253"/>
      <c r="Y126" s="253"/>
      <c r="Z126" s="253"/>
      <c r="AA126" s="253"/>
      <c r="AB126" s="253"/>
      <c r="AC126" s="253"/>
      <c r="AD126" s="253"/>
      <c r="AE126" s="253"/>
      <c r="AF126" s="253"/>
      <c r="AG126" s="253"/>
      <c r="AH126" s="253"/>
      <c r="AI126" s="253"/>
      <c r="AJ126" s="253"/>
      <c r="AK126" s="253"/>
      <c r="AL126" s="253"/>
      <c r="AM126" s="253"/>
      <c r="AN126" s="253"/>
      <c r="AO126" s="253"/>
      <c r="AP126" s="253"/>
      <c r="AQ126" s="253"/>
      <c r="AR126" s="253"/>
      <c r="AS126" s="253"/>
      <c r="AT126" s="253"/>
      <c r="AU126" s="253"/>
      <c r="AV126" s="59"/>
    </row>
    <row r="127" spans="2:48" ht="19.5" customHeight="1" x14ac:dyDescent="0.25">
      <c r="B127" s="259"/>
      <c r="C127" s="276"/>
      <c r="D127" s="276"/>
      <c r="E127" s="276"/>
      <c r="F127" s="276"/>
      <c r="I127" s="260">
        <v>112</v>
      </c>
      <c r="J127" s="255" t="str">
        <f>IF(I127&lt;=MAX(Forest_data[Age]),I127,"")</f>
        <v/>
      </c>
      <c r="K127" s="256" t="str">
        <f>IF(ISNUMBER(J127),LOOKUP(J127, Forest_data[[#All],[Age]],Forest_data[[#All],[Number of trees per ha]]),"")</f>
        <v/>
      </c>
      <c r="L127" s="257" t="str">
        <f>IF(ISNUMBER(J127),IF(ISNA(VLOOKUP(J127,Forest_data[#All],3,FALSE)),#N/A, VLOOKUP(J127,Forest_data[#All],3,FALSE)),"")</f>
        <v/>
      </c>
      <c r="M127" s="257" t="str">
        <f>IF(ISNUMBER(J127),IF(ISNA(VLOOKUP(J127,Forest_data[#All],4,FALSE)),#N/A, VLOOKUP(J127,Forest_data[#All],4,FALSE)),"")</f>
        <v/>
      </c>
      <c r="N127" s="257" t="str">
        <f>IF(ISNUMBER(J127),IF(ISNA(VLOOKUP(J127,Forest_data[#All],5,FALSE)),#N/A, VLOOKUP(J127,Forest_data[#All],5,FALSE)),"")</f>
        <v/>
      </c>
      <c r="O127" s="257" t="str">
        <f>IF(ISNUMBER(J127),IF(ISNA(VLOOKUP(J127,Forest_data[#All],6,FALSE)),#N/A, VLOOKUP(J127,Forest_data[#All],6,FALSE)),"")</f>
        <v/>
      </c>
      <c r="P127" s="257" t="str">
        <f t="shared" si="15"/>
        <v/>
      </c>
      <c r="Q127" s="257" t="str">
        <f t="shared" si="8"/>
        <v/>
      </c>
      <c r="R127" s="257" t="str">
        <f t="shared" si="13"/>
        <v/>
      </c>
      <c r="S127" s="283" t="str">
        <f t="shared" si="9"/>
        <v/>
      </c>
      <c r="T127" s="258" t="str">
        <f t="shared" si="10"/>
        <v/>
      </c>
      <c r="U127" s="257" t="str">
        <f t="shared" si="11"/>
        <v/>
      </c>
      <c r="V127" s="257" t="str">
        <f t="shared" si="14"/>
        <v/>
      </c>
      <c r="W127" s="283" t="str">
        <f t="shared" si="12"/>
        <v/>
      </c>
      <c r="X127" s="253"/>
      <c r="Y127" s="253"/>
      <c r="Z127" s="253"/>
      <c r="AA127" s="253"/>
      <c r="AB127" s="253"/>
      <c r="AC127" s="253"/>
      <c r="AD127" s="253"/>
      <c r="AE127" s="253"/>
      <c r="AF127" s="253"/>
      <c r="AG127" s="253"/>
      <c r="AH127" s="253"/>
      <c r="AI127" s="253"/>
      <c r="AJ127" s="253"/>
      <c r="AK127" s="253"/>
      <c r="AL127" s="253"/>
      <c r="AM127" s="253"/>
      <c r="AN127" s="253"/>
      <c r="AO127" s="253"/>
      <c r="AP127" s="253"/>
      <c r="AQ127" s="253"/>
      <c r="AR127" s="253"/>
      <c r="AS127" s="253"/>
      <c r="AT127" s="253"/>
      <c r="AU127" s="253"/>
      <c r="AV127" s="59"/>
    </row>
    <row r="128" spans="2:48" ht="19.5" customHeight="1" x14ac:dyDescent="0.25">
      <c r="B128" s="259"/>
      <c r="C128" s="276"/>
      <c r="D128" s="276"/>
      <c r="E128" s="276"/>
      <c r="F128" s="276"/>
      <c r="I128" s="83">
        <v>113</v>
      </c>
      <c r="J128" s="255" t="str">
        <f>IF(I128&lt;=MAX(Forest_data[Age]),I128,"")</f>
        <v/>
      </c>
      <c r="K128" s="256" t="str">
        <f>IF(ISNUMBER(J128),LOOKUP(J128, Forest_data[[#All],[Age]],Forest_data[[#All],[Number of trees per ha]]),"")</f>
        <v/>
      </c>
      <c r="L128" s="257" t="str">
        <f>IF(ISNUMBER(J128),IF(ISNA(VLOOKUP(J128,Forest_data[#All],3,FALSE)),#N/A, VLOOKUP(J128,Forest_data[#All],3,FALSE)),"")</f>
        <v/>
      </c>
      <c r="M128" s="257" t="str">
        <f>IF(ISNUMBER(J128),IF(ISNA(VLOOKUP(J128,Forest_data[#All],4,FALSE)),#N/A, VLOOKUP(J128,Forest_data[#All],4,FALSE)),"")</f>
        <v/>
      </c>
      <c r="N128" s="257" t="str">
        <f>IF(ISNUMBER(J128),IF(ISNA(VLOOKUP(J128,Forest_data[#All],5,FALSE)),#N/A, VLOOKUP(J128,Forest_data[#All],5,FALSE)),"")</f>
        <v/>
      </c>
      <c r="O128" s="257" t="str">
        <f>IF(ISNUMBER(J128),IF(ISNA(VLOOKUP(J128,Forest_data[#All],6,FALSE)),#N/A, VLOOKUP(J128,Forest_data[#All],6,FALSE)),"")</f>
        <v/>
      </c>
      <c r="P128" s="257" t="str">
        <f t="shared" si="15"/>
        <v/>
      </c>
      <c r="Q128" s="257" t="str">
        <f t="shared" si="8"/>
        <v/>
      </c>
      <c r="R128" s="257" t="str">
        <f t="shared" si="13"/>
        <v/>
      </c>
      <c r="S128" s="283" t="str">
        <f t="shared" si="9"/>
        <v/>
      </c>
      <c r="T128" s="258" t="str">
        <f t="shared" si="10"/>
        <v/>
      </c>
      <c r="U128" s="257" t="str">
        <f t="shared" si="11"/>
        <v/>
      </c>
      <c r="V128" s="257" t="str">
        <f t="shared" si="14"/>
        <v/>
      </c>
      <c r="W128" s="283" t="str">
        <f t="shared" si="12"/>
        <v/>
      </c>
      <c r="X128" s="253"/>
      <c r="Y128" s="253"/>
      <c r="Z128" s="253"/>
      <c r="AA128" s="253"/>
      <c r="AB128" s="253"/>
      <c r="AC128" s="253"/>
      <c r="AD128" s="253"/>
      <c r="AE128" s="253"/>
      <c r="AF128" s="253"/>
      <c r="AG128" s="253"/>
      <c r="AH128" s="253"/>
      <c r="AI128" s="253"/>
      <c r="AJ128" s="253"/>
      <c r="AK128" s="253"/>
      <c r="AL128" s="253"/>
      <c r="AM128" s="253"/>
      <c r="AN128" s="253"/>
      <c r="AO128" s="253"/>
      <c r="AP128" s="253"/>
      <c r="AQ128" s="253"/>
      <c r="AR128" s="253"/>
      <c r="AS128" s="253"/>
      <c r="AT128" s="253"/>
      <c r="AU128" s="253"/>
      <c r="AV128" s="59"/>
    </row>
    <row r="129" spans="2:48" ht="19.5" customHeight="1" x14ac:dyDescent="0.25">
      <c r="C129" s="276"/>
      <c r="I129" s="83">
        <v>114</v>
      </c>
      <c r="J129" s="255" t="str">
        <f>IF(I129&lt;=MAX(Forest_data[Age]),I129,"")</f>
        <v/>
      </c>
      <c r="K129" s="256" t="str">
        <f>IF(ISNUMBER(J129),LOOKUP(J129, Forest_data[[#All],[Age]],Forest_data[[#All],[Number of trees per ha]]),"")</f>
        <v/>
      </c>
      <c r="L129" s="257" t="str">
        <f>IF(ISNUMBER(J129),IF(ISNA(VLOOKUP(J129,Forest_data[#All],3,FALSE)),#N/A, VLOOKUP(J129,Forest_data[#All],3,FALSE)),"")</f>
        <v/>
      </c>
      <c r="M129" s="257" t="str">
        <f>IF(ISNUMBER(J129),IF(ISNA(VLOOKUP(J129,Forest_data[#All],4,FALSE)),#N/A, VLOOKUP(J129,Forest_data[#All],4,FALSE)),"")</f>
        <v/>
      </c>
      <c r="N129" s="257" t="str">
        <f>IF(ISNUMBER(J129),IF(ISNA(VLOOKUP(J129,Forest_data[#All],5,FALSE)),#N/A, VLOOKUP(J129,Forest_data[#All],5,FALSE)),"")</f>
        <v/>
      </c>
      <c r="O129" s="257" t="str">
        <f>IF(ISNUMBER(J129),IF(ISNA(VLOOKUP(J129,Forest_data[#All],6,FALSE)),#N/A, VLOOKUP(J129,Forest_data[#All],6,FALSE)),"")</f>
        <v/>
      </c>
      <c r="P129" s="257" t="str">
        <f t="shared" si="15"/>
        <v/>
      </c>
      <c r="Q129" s="257" t="str">
        <f t="shared" si="8"/>
        <v/>
      </c>
      <c r="R129" s="257" t="str">
        <f t="shared" si="13"/>
        <v/>
      </c>
      <c r="S129" s="283" t="str">
        <f t="shared" si="9"/>
        <v/>
      </c>
      <c r="T129" s="258" t="str">
        <f t="shared" si="10"/>
        <v/>
      </c>
      <c r="U129" s="257" t="str">
        <f t="shared" si="11"/>
        <v/>
      </c>
      <c r="V129" s="257" t="str">
        <f t="shared" si="14"/>
        <v/>
      </c>
      <c r="W129" s="283" t="str">
        <f t="shared" si="12"/>
        <v/>
      </c>
      <c r="X129" s="253"/>
      <c r="Y129" s="253"/>
      <c r="Z129" s="253"/>
      <c r="AA129" s="253"/>
      <c r="AB129" s="253"/>
      <c r="AC129" s="253"/>
      <c r="AD129" s="253"/>
      <c r="AE129" s="253"/>
      <c r="AF129" s="253"/>
      <c r="AG129" s="253"/>
      <c r="AH129" s="253"/>
      <c r="AI129" s="253"/>
      <c r="AJ129" s="253"/>
      <c r="AK129" s="253"/>
      <c r="AL129" s="253"/>
      <c r="AM129" s="253"/>
      <c r="AN129" s="253"/>
      <c r="AO129" s="253"/>
      <c r="AP129" s="253"/>
      <c r="AQ129" s="253"/>
      <c r="AR129" s="253"/>
      <c r="AS129" s="253"/>
      <c r="AT129" s="253"/>
      <c r="AU129" s="253"/>
      <c r="AV129" s="59"/>
    </row>
    <row r="130" spans="2:48" ht="19.5" customHeight="1" x14ac:dyDescent="0.25">
      <c r="I130" s="83">
        <v>115</v>
      </c>
      <c r="J130" s="255" t="str">
        <f>IF(I130&lt;=MAX(Forest_data[Age]),I130,"")</f>
        <v/>
      </c>
      <c r="K130" s="256" t="str">
        <f>IF(ISNUMBER(J130),LOOKUP(J130, Forest_data[[#All],[Age]],Forest_data[[#All],[Number of trees per ha]]),"")</f>
        <v/>
      </c>
      <c r="L130" s="257" t="str">
        <f>IF(ISNUMBER(J130),IF(ISNA(VLOOKUP(J130,Forest_data[#All],3,FALSE)),#N/A, VLOOKUP(J130,Forest_data[#All],3,FALSE)),"")</f>
        <v/>
      </c>
      <c r="M130" s="257" t="str">
        <f>IF(ISNUMBER(J130),IF(ISNA(VLOOKUP(J130,Forest_data[#All],4,FALSE)),#N/A, VLOOKUP(J130,Forest_data[#All],4,FALSE)),"")</f>
        <v/>
      </c>
      <c r="N130" s="257" t="str">
        <f>IF(ISNUMBER(J130),IF(ISNA(VLOOKUP(J130,Forest_data[#All],5,FALSE)),#N/A, VLOOKUP(J130,Forest_data[#All],5,FALSE)),"")</f>
        <v/>
      </c>
      <c r="O130" s="257" t="str">
        <f>IF(ISNUMBER(J130),IF(ISNA(VLOOKUP(J130,Forest_data[#All],6,FALSE)),#N/A, VLOOKUP(J130,Forest_data[#All],6,FALSE)),"")</f>
        <v/>
      </c>
      <c r="P130" s="257" t="str">
        <f t="shared" si="15"/>
        <v/>
      </c>
      <c r="Q130" s="257" t="str">
        <f t="shared" si="8"/>
        <v/>
      </c>
      <c r="R130" s="257" t="str">
        <f t="shared" si="13"/>
        <v/>
      </c>
      <c r="S130" s="283" t="str">
        <f t="shared" si="9"/>
        <v/>
      </c>
      <c r="T130" s="258" t="str">
        <f t="shared" si="10"/>
        <v/>
      </c>
      <c r="U130" s="257" t="str">
        <f t="shared" si="11"/>
        <v/>
      </c>
      <c r="V130" s="257" t="str">
        <f t="shared" si="14"/>
        <v/>
      </c>
      <c r="W130" s="283" t="str">
        <f t="shared" si="12"/>
        <v/>
      </c>
      <c r="X130" s="253"/>
      <c r="Y130" s="253"/>
      <c r="Z130" s="253"/>
      <c r="AA130" s="253"/>
      <c r="AB130" s="253"/>
      <c r="AC130" s="253"/>
      <c r="AD130" s="253"/>
      <c r="AE130" s="253"/>
      <c r="AF130" s="253"/>
      <c r="AG130" s="253"/>
      <c r="AH130" s="253"/>
      <c r="AI130" s="253"/>
      <c r="AJ130" s="253"/>
      <c r="AK130" s="253"/>
      <c r="AL130" s="253"/>
      <c r="AM130" s="253"/>
      <c r="AN130" s="253"/>
      <c r="AO130" s="253"/>
      <c r="AP130" s="253"/>
      <c r="AQ130" s="253"/>
      <c r="AR130" s="253"/>
      <c r="AS130" s="253"/>
      <c r="AT130" s="253"/>
      <c r="AU130" s="253"/>
      <c r="AV130" s="59"/>
    </row>
    <row r="131" spans="2:48" ht="19.5" customHeight="1" x14ac:dyDescent="0.25">
      <c r="I131" s="260">
        <v>116</v>
      </c>
      <c r="J131" s="255" t="str">
        <f>IF(I131&lt;=MAX(Forest_data[Age]),I131,"")</f>
        <v/>
      </c>
      <c r="K131" s="256" t="str">
        <f>IF(ISNUMBER(J131),LOOKUP(J131, Forest_data[[#All],[Age]],Forest_data[[#All],[Number of trees per ha]]),"")</f>
        <v/>
      </c>
      <c r="L131" s="257" t="str">
        <f>IF(ISNUMBER(J131),IF(ISNA(VLOOKUP(J131,Forest_data[#All],3,FALSE)),#N/A, VLOOKUP(J131,Forest_data[#All],3,FALSE)),"")</f>
        <v/>
      </c>
      <c r="M131" s="257" t="str">
        <f>IF(ISNUMBER(J131),IF(ISNA(VLOOKUP(J131,Forest_data[#All],4,FALSE)),#N/A, VLOOKUP(J131,Forest_data[#All],4,FALSE)),"")</f>
        <v/>
      </c>
      <c r="N131" s="257" t="str">
        <f>IF(ISNUMBER(J131),IF(ISNA(VLOOKUP(J131,Forest_data[#All],5,FALSE)),#N/A, VLOOKUP(J131,Forest_data[#All],5,FALSE)),"")</f>
        <v/>
      </c>
      <c r="O131" s="257" t="str">
        <f>IF(ISNUMBER(J131),IF(ISNA(VLOOKUP(J131,Forest_data[#All],6,FALSE)),#N/A, VLOOKUP(J131,Forest_data[#All],6,FALSE)),"")</f>
        <v/>
      </c>
      <c r="P131" s="257" t="str">
        <f t="shared" si="15"/>
        <v/>
      </c>
      <c r="Q131" s="257" t="str">
        <f t="shared" si="8"/>
        <v/>
      </c>
      <c r="R131" s="257" t="str">
        <f t="shared" si="13"/>
        <v/>
      </c>
      <c r="S131" s="283" t="str">
        <f t="shared" si="9"/>
        <v/>
      </c>
      <c r="T131" s="258" t="str">
        <f t="shared" si="10"/>
        <v/>
      </c>
      <c r="U131" s="257" t="str">
        <f t="shared" si="11"/>
        <v/>
      </c>
      <c r="V131" s="257" t="str">
        <f t="shared" si="14"/>
        <v/>
      </c>
      <c r="W131" s="283" t="str">
        <f t="shared" si="12"/>
        <v/>
      </c>
      <c r="X131" s="253"/>
      <c r="Y131" s="253"/>
      <c r="Z131" s="253"/>
      <c r="AA131" s="253"/>
      <c r="AB131" s="253"/>
      <c r="AC131" s="253"/>
      <c r="AD131" s="253"/>
      <c r="AE131" s="253"/>
      <c r="AF131" s="253"/>
      <c r="AG131" s="253"/>
      <c r="AH131" s="253"/>
      <c r="AI131" s="253"/>
      <c r="AJ131" s="253"/>
      <c r="AK131" s="253"/>
      <c r="AL131" s="253"/>
      <c r="AM131" s="253"/>
      <c r="AN131" s="253"/>
      <c r="AO131" s="253"/>
      <c r="AP131" s="253"/>
      <c r="AQ131" s="253"/>
      <c r="AR131" s="253"/>
      <c r="AS131" s="253"/>
      <c r="AT131" s="253"/>
      <c r="AU131" s="253"/>
      <c r="AV131" s="59"/>
    </row>
    <row r="132" spans="2:48" ht="19.5" customHeight="1" x14ac:dyDescent="0.25">
      <c r="B132" s="61"/>
      <c r="C132" s="61"/>
      <c r="D132" s="61"/>
      <c r="E132" s="61"/>
      <c r="F132" s="61"/>
      <c r="I132" s="83">
        <v>117</v>
      </c>
      <c r="J132" s="255" t="str">
        <f>IF(I132&lt;=MAX(Forest_data[Age]),I132,"")</f>
        <v/>
      </c>
      <c r="K132" s="256" t="str">
        <f>IF(ISNUMBER(J132),LOOKUP(J132, Forest_data[[#All],[Age]],Forest_data[[#All],[Number of trees per ha]]),"")</f>
        <v/>
      </c>
      <c r="L132" s="257" t="str">
        <f>IF(ISNUMBER(J132),IF(ISNA(VLOOKUP(J132,Forest_data[#All],3,FALSE)),#N/A, VLOOKUP(J132,Forest_data[#All],3,FALSE)),"")</f>
        <v/>
      </c>
      <c r="M132" s="257" t="str">
        <f>IF(ISNUMBER(J132),IF(ISNA(VLOOKUP(J132,Forest_data[#All],4,FALSE)),#N/A, VLOOKUP(J132,Forest_data[#All],4,FALSE)),"")</f>
        <v/>
      </c>
      <c r="N132" s="257" t="str">
        <f>IF(ISNUMBER(J132),IF(ISNA(VLOOKUP(J132,Forest_data[#All],5,FALSE)),#N/A, VLOOKUP(J132,Forest_data[#All],5,FALSE)),"")</f>
        <v/>
      </c>
      <c r="O132" s="257" t="str">
        <f>IF(ISNUMBER(J132),IF(ISNA(VLOOKUP(J132,Forest_data[#All],6,FALSE)),#N/A, VLOOKUP(J132,Forest_data[#All],6,FALSE)),"")</f>
        <v/>
      </c>
      <c r="P132" s="257" t="str">
        <f t="shared" si="15"/>
        <v/>
      </c>
      <c r="Q132" s="257" t="str">
        <f t="shared" si="8"/>
        <v/>
      </c>
      <c r="R132" s="257" t="str">
        <f t="shared" si="13"/>
        <v/>
      </c>
      <c r="S132" s="283" t="str">
        <f t="shared" si="9"/>
        <v/>
      </c>
      <c r="T132" s="258" t="str">
        <f t="shared" si="10"/>
        <v/>
      </c>
      <c r="U132" s="257" t="str">
        <f t="shared" si="11"/>
        <v/>
      </c>
      <c r="V132" s="257" t="str">
        <f t="shared" si="14"/>
        <v/>
      </c>
      <c r="W132" s="283" t="str">
        <f t="shared" si="12"/>
        <v/>
      </c>
      <c r="X132" s="253"/>
      <c r="Y132" s="253"/>
      <c r="Z132" s="253"/>
      <c r="AA132" s="253"/>
      <c r="AB132" s="253"/>
      <c r="AC132" s="253"/>
      <c r="AD132" s="253"/>
      <c r="AE132" s="253"/>
      <c r="AF132" s="253"/>
      <c r="AG132" s="253"/>
      <c r="AH132" s="253"/>
      <c r="AI132" s="253"/>
      <c r="AJ132" s="253"/>
      <c r="AK132" s="253"/>
      <c r="AL132" s="253"/>
      <c r="AM132" s="253"/>
      <c r="AN132" s="253"/>
      <c r="AO132" s="253"/>
      <c r="AP132" s="253"/>
      <c r="AQ132" s="253"/>
      <c r="AR132" s="253"/>
      <c r="AS132" s="253"/>
      <c r="AT132" s="253"/>
      <c r="AU132" s="253"/>
      <c r="AV132" s="59"/>
    </row>
    <row r="133" spans="2:48" ht="19.5" customHeight="1" x14ac:dyDescent="0.25">
      <c r="B133" s="61"/>
      <c r="C133" s="61"/>
      <c r="D133" s="61"/>
      <c r="E133" s="61"/>
      <c r="F133" s="61"/>
      <c r="I133" s="83">
        <v>118</v>
      </c>
      <c r="J133" s="255" t="str">
        <f>IF(I133&lt;=MAX(Forest_data[Age]),I133,"")</f>
        <v/>
      </c>
      <c r="K133" s="256" t="str">
        <f>IF(ISNUMBER(J133),LOOKUP(J133, Forest_data[[#All],[Age]],Forest_data[[#All],[Number of trees per ha]]),"")</f>
        <v/>
      </c>
      <c r="L133" s="257" t="str">
        <f>IF(ISNUMBER(J133),IF(ISNA(VLOOKUP(J133,Forest_data[#All],3,FALSE)),#N/A, VLOOKUP(J133,Forest_data[#All],3,FALSE)),"")</f>
        <v/>
      </c>
      <c r="M133" s="257" t="str">
        <f>IF(ISNUMBER(J133),IF(ISNA(VLOOKUP(J133,Forest_data[#All],4,FALSE)),#N/A, VLOOKUP(J133,Forest_data[#All],4,FALSE)),"")</f>
        <v/>
      </c>
      <c r="N133" s="257" t="str">
        <f>IF(ISNUMBER(J133),IF(ISNA(VLOOKUP(J133,Forest_data[#All],5,FALSE)),#N/A, VLOOKUP(J133,Forest_data[#All],5,FALSE)),"")</f>
        <v/>
      </c>
      <c r="O133" s="257" t="str">
        <f>IF(ISNUMBER(J133),IF(ISNA(VLOOKUP(J133,Forest_data[#All],6,FALSE)),#N/A, VLOOKUP(J133,Forest_data[#All],6,FALSE)),"")</f>
        <v/>
      </c>
      <c r="P133" s="257" t="str">
        <f t="shared" si="15"/>
        <v/>
      </c>
      <c r="Q133" s="257" t="str">
        <f t="shared" si="8"/>
        <v/>
      </c>
      <c r="R133" s="257" t="str">
        <f t="shared" si="13"/>
        <v/>
      </c>
      <c r="S133" s="283" t="str">
        <f t="shared" si="9"/>
        <v/>
      </c>
      <c r="T133" s="258" t="str">
        <f t="shared" si="10"/>
        <v/>
      </c>
      <c r="U133" s="257" t="str">
        <f t="shared" si="11"/>
        <v/>
      </c>
      <c r="V133" s="257" t="str">
        <f t="shared" si="14"/>
        <v/>
      </c>
      <c r="W133" s="283" t="str">
        <f t="shared" si="12"/>
        <v/>
      </c>
      <c r="X133" s="253"/>
      <c r="Y133" s="253"/>
      <c r="Z133" s="253"/>
      <c r="AA133" s="253"/>
      <c r="AB133" s="253"/>
      <c r="AC133" s="253"/>
      <c r="AD133" s="253"/>
      <c r="AE133" s="253"/>
      <c r="AF133" s="253"/>
      <c r="AG133" s="253"/>
      <c r="AH133" s="253"/>
      <c r="AI133" s="253"/>
      <c r="AJ133" s="253"/>
      <c r="AK133" s="253"/>
      <c r="AL133" s="253"/>
      <c r="AM133" s="253"/>
      <c r="AN133" s="253"/>
      <c r="AO133" s="253"/>
      <c r="AP133" s="253"/>
      <c r="AQ133" s="253"/>
      <c r="AR133" s="253"/>
      <c r="AS133" s="253"/>
      <c r="AT133" s="253"/>
      <c r="AU133" s="253"/>
      <c r="AV133" s="59"/>
    </row>
    <row r="134" spans="2:48" ht="19.5" customHeight="1" x14ac:dyDescent="0.25">
      <c r="B134" s="61"/>
      <c r="C134" s="61"/>
      <c r="D134" s="61"/>
      <c r="E134" s="61"/>
      <c r="F134" s="61"/>
      <c r="I134" s="83">
        <v>119</v>
      </c>
      <c r="J134" s="255" t="str">
        <f>IF(I134&lt;=MAX(Forest_data[Age]),I134,"")</f>
        <v/>
      </c>
      <c r="K134" s="256" t="str">
        <f>IF(ISNUMBER(J134),LOOKUP(J134, Forest_data[[#All],[Age]],Forest_data[[#All],[Number of trees per ha]]),"")</f>
        <v/>
      </c>
      <c r="L134" s="257" t="str">
        <f>IF(ISNUMBER(J134),IF(ISNA(VLOOKUP(J134,Forest_data[#All],3,FALSE)),#N/A, VLOOKUP(J134,Forest_data[#All],3,FALSE)),"")</f>
        <v/>
      </c>
      <c r="M134" s="257" t="str">
        <f>IF(ISNUMBER(J134),IF(ISNA(VLOOKUP(J134,Forest_data[#All],4,FALSE)),#N/A, VLOOKUP(J134,Forest_data[#All],4,FALSE)),"")</f>
        <v/>
      </c>
      <c r="N134" s="257" t="str">
        <f>IF(ISNUMBER(J134),IF(ISNA(VLOOKUP(J134,Forest_data[#All],5,FALSE)),#N/A, VLOOKUP(J134,Forest_data[#All],5,FALSE)),"")</f>
        <v/>
      </c>
      <c r="O134" s="257" t="str">
        <f>IF(ISNUMBER(J134),IF(ISNA(VLOOKUP(J134,Forest_data[#All],6,FALSE)),#N/A, VLOOKUP(J134,Forest_data[#All],6,FALSE)),"")</f>
        <v/>
      </c>
      <c r="P134" s="257" t="str">
        <f t="shared" si="15"/>
        <v/>
      </c>
      <c r="Q134" s="257" t="str">
        <f t="shared" si="8"/>
        <v/>
      </c>
      <c r="R134" s="257" t="str">
        <f t="shared" si="13"/>
        <v/>
      </c>
      <c r="S134" s="283" t="str">
        <f t="shared" si="9"/>
        <v/>
      </c>
      <c r="T134" s="258" t="str">
        <f t="shared" si="10"/>
        <v/>
      </c>
      <c r="U134" s="257" t="str">
        <f t="shared" si="11"/>
        <v/>
      </c>
      <c r="V134" s="257" t="str">
        <f t="shared" si="14"/>
        <v/>
      </c>
      <c r="W134" s="283" t="str">
        <f t="shared" si="12"/>
        <v/>
      </c>
      <c r="X134" s="253"/>
      <c r="Y134" s="253"/>
      <c r="Z134" s="253"/>
      <c r="AA134" s="253"/>
      <c r="AB134" s="253"/>
      <c r="AC134" s="253"/>
      <c r="AD134" s="253"/>
      <c r="AE134" s="253"/>
      <c r="AF134" s="253"/>
      <c r="AG134" s="253"/>
      <c r="AH134" s="253"/>
      <c r="AI134" s="253"/>
      <c r="AJ134" s="253"/>
      <c r="AK134" s="253"/>
      <c r="AL134" s="253"/>
      <c r="AM134" s="253"/>
      <c r="AN134" s="253"/>
      <c r="AO134" s="253"/>
      <c r="AP134" s="253"/>
      <c r="AQ134" s="253"/>
      <c r="AR134" s="253"/>
      <c r="AS134" s="253"/>
      <c r="AT134" s="253"/>
      <c r="AU134" s="253"/>
      <c r="AV134" s="59"/>
    </row>
    <row r="135" spans="2:48" ht="19.5" customHeight="1" x14ac:dyDescent="0.25">
      <c r="B135" s="61"/>
      <c r="C135" s="61"/>
      <c r="D135" s="61"/>
      <c r="E135" s="61"/>
      <c r="F135" s="61"/>
      <c r="I135" s="260">
        <v>120</v>
      </c>
      <c r="J135" s="255" t="str">
        <f>IF(I135&lt;=MAX(Forest_data[Age]),I135,"")</f>
        <v/>
      </c>
      <c r="K135" s="256" t="str">
        <f>IF(ISNUMBER(J135),LOOKUP(J135, Forest_data[[#All],[Age]],Forest_data[[#All],[Number of trees per ha]]),"")</f>
        <v/>
      </c>
      <c r="L135" s="257" t="str">
        <f>IF(ISNUMBER(J135),IF(ISNA(VLOOKUP(J135,Forest_data[#All],3,FALSE)),#N/A, VLOOKUP(J135,Forest_data[#All],3,FALSE)),"")</f>
        <v/>
      </c>
      <c r="M135" s="257" t="str">
        <f>IF(ISNUMBER(J135),IF(ISNA(VLOOKUP(J135,Forest_data[#All],4,FALSE)),#N/A, VLOOKUP(J135,Forest_data[#All],4,FALSE)),"")</f>
        <v/>
      </c>
      <c r="N135" s="257" t="str">
        <f>IF(ISNUMBER(J135),IF(ISNA(VLOOKUP(J135,Forest_data[#All],5,FALSE)),#N/A, VLOOKUP(J135,Forest_data[#All],5,FALSE)),"")</f>
        <v/>
      </c>
      <c r="O135" s="257" t="str">
        <f>IF(ISNUMBER(J135),IF(ISNA(VLOOKUP(J135,Forest_data[#All],6,FALSE)),#N/A, VLOOKUP(J135,Forest_data[#All],6,FALSE)),"")</f>
        <v/>
      </c>
      <c r="P135" s="257" t="str">
        <f t="shared" si="15"/>
        <v/>
      </c>
      <c r="Q135" s="257" t="str">
        <f t="shared" si="8"/>
        <v/>
      </c>
      <c r="R135" s="257" t="str">
        <f t="shared" si="13"/>
        <v/>
      </c>
      <c r="S135" s="283" t="str">
        <f t="shared" si="9"/>
        <v/>
      </c>
      <c r="T135" s="258" t="str">
        <f t="shared" si="10"/>
        <v/>
      </c>
      <c r="U135" s="257" t="str">
        <f t="shared" si="11"/>
        <v/>
      </c>
      <c r="V135" s="257" t="str">
        <f t="shared" si="14"/>
        <v/>
      </c>
      <c r="W135" s="283" t="str">
        <f t="shared" si="12"/>
        <v/>
      </c>
      <c r="X135" s="253"/>
      <c r="Y135" s="253"/>
      <c r="Z135" s="253"/>
      <c r="AA135" s="253"/>
      <c r="AB135" s="253"/>
      <c r="AC135" s="253"/>
      <c r="AD135" s="253"/>
      <c r="AE135" s="253"/>
      <c r="AF135" s="253"/>
      <c r="AG135" s="253"/>
      <c r="AH135" s="253"/>
      <c r="AI135" s="253"/>
      <c r="AJ135" s="253"/>
      <c r="AK135" s="253"/>
      <c r="AL135" s="253"/>
      <c r="AM135" s="253"/>
      <c r="AN135" s="253"/>
      <c r="AO135" s="253"/>
      <c r="AP135" s="253"/>
      <c r="AQ135" s="253"/>
      <c r="AR135" s="253"/>
      <c r="AS135" s="253"/>
      <c r="AT135" s="253"/>
      <c r="AU135" s="253"/>
      <c r="AV135" s="59"/>
    </row>
    <row r="136" spans="2:48" ht="19.5" customHeight="1" x14ac:dyDescent="0.25">
      <c r="B136" s="61"/>
      <c r="C136" s="61"/>
      <c r="D136" s="61"/>
      <c r="E136" s="61"/>
      <c r="F136" s="61"/>
      <c r="I136" s="83">
        <v>121</v>
      </c>
      <c r="J136" s="255" t="str">
        <f>IF(I136&lt;=MAX(Forest_data[Age]),I136,"")</f>
        <v/>
      </c>
      <c r="K136" s="256" t="str">
        <f>IF(ISNUMBER(J136),LOOKUP(J136, Forest_data[[#All],[Age]],Forest_data[[#All],[Number of trees per ha]]),"")</f>
        <v/>
      </c>
      <c r="L136" s="257" t="str">
        <f>IF(ISNUMBER(J136),IF(ISNA(VLOOKUP(J136,Forest_data[#All],3,FALSE)),#N/A, VLOOKUP(J136,Forest_data[#All],3,FALSE)),"")</f>
        <v/>
      </c>
      <c r="M136" s="257" t="str">
        <f>IF(ISNUMBER(J136),IF(ISNA(VLOOKUP(J136,Forest_data[#All],4,FALSE)),#N/A, VLOOKUP(J136,Forest_data[#All],4,FALSE)),"")</f>
        <v/>
      </c>
      <c r="N136" s="257" t="str">
        <f>IF(ISNUMBER(J136),IF(ISNA(VLOOKUP(J136,Forest_data[#All],5,FALSE)),#N/A, VLOOKUP(J136,Forest_data[#All],5,FALSE)),"")</f>
        <v/>
      </c>
      <c r="O136" s="257" t="str">
        <f>IF(ISNUMBER(J136),IF(ISNA(VLOOKUP(J136,Forest_data[#All],6,FALSE)),#N/A, VLOOKUP(J136,Forest_data[#All],6,FALSE)),"")</f>
        <v/>
      </c>
      <c r="P136" s="257" t="str">
        <f t="shared" si="15"/>
        <v/>
      </c>
      <c r="Q136" s="257" t="str">
        <f t="shared" si="8"/>
        <v/>
      </c>
      <c r="R136" s="257" t="str">
        <f t="shared" si="13"/>
        <v/>
      </c>
      <c r="S136" s="283" t="str">
        <f t="shared" si="9"/>
        <v/>
      </c>
      <c r="T136" s="258" t="str">
        <f t="shared" si="10"/>
        <v/>
      </c>
      <c r="U136" s="257" t="str">
        <f t="shared" si="11"/>
        <v/>
      </c>
      <c r="V136" s="257" t="str">
        <f t="shared" si="14"/>
        <v/>
      </c>
      <c r="W136" s="283" t="str">
        <f t="shared" si="12"/>
        <v/>
      </c>
      <c r="X136" s="253"/>
      <c r="Y136" s="253"/>
      <c r="Z136" s="253"/>
      <c r="AA136" s="253"/>
      <c r="AB136" s="253"/>
      <c r="AC136" s="253"/>
      <c r="AD136" s="253"/>
      <c r="AE136" s="253"/>
      <c r="AF136" s="253"/>
      <c r="AG136" s="253"/>
      <c r="AH136" s="253"/>
      <c r="AI136" s="253"/>
      <c r="AJ136" s="253"/>
      <c r="AK136" s="253"/>
      <c r="AL136" s="253"/>
      <c r="AM136" s="253"/>
      <c r="AN136" s="253"/>
      <c r="AO136" s="253"/>
      <c r="AP136" s="253"/>
      <c r="AQ136" s="253"/>
      <c r="AR136" s="253"/>
      <c r="AS136" s="253"/>
      <c r="AT136" s="253"/>
      <c r="AU136" s="253"/>
      <c r="AV136" s="59"/>
    </row>
    <row r="137" spans="2:48" ht="19.5" customHeight="1" x14ac:dyDescent="0.25">
      <c r="B137" s="61"/>
      <c r="C137" s="61"/>
      <c r="D137" s="61"/>
      <c r="E137" s="61"/>
      <c r="F137" s="61"/>
      <c r="I137" s="83">
        <v>122</v>
      </c>
      <c r="J137" s="255" t="str">
        <f>IF(I137&lt;=MAX(Forest_data[Age]),I137,"")</f>
        <v/>
      </c>
      <c r="K137" s="256" t="str">
        <f>IF(ISNUMBER(J137),LOOKUP(J137, Forest_data[[#All],[Age]],Forest_data[[#All],[Number of trees per ha]]),"")</f>
        <v/>
      </c>
      <c r="L137" s="257" t="str">
        <f>IF(ISNUMBER(J137),IF(ISNA(VLOOKUP(J137,Forest_data[#All],3,FALSE)),#N/A, VLOOKUP(J137,Forest_data[#All],3,FALSE)),"")</f>
        <v/>
      </c>
      <c r="M137" s="257" t="str">
        <f>IF(ISNUMBER(J137),IF(ISNA(VLOOKUP(J137,Forest_data[#All],4,FALSE)),#N/A, VLOOKUP(J137,Forest_data[#All],4,FALSE)),"")</f>
        <v/>
      </c>
      <c r="N137" s="257" t="str">
        <f>IF(ISNUMBER(J137),IF(ISNA(VLOOKUP(J137,Forest_data[#All],5,FALSE)),#N/A, VLOOKUP(J137,Forest_data[#All],5,FALSE)),"")</f>
        <v/>
      </c>
      <c r="O137" s="257" t="str">
        <f>IF(ISNUMBER(J137),IF(ISNA(VLOOKUP(J137,Forest_data[#All],6,FALSE)),#N/A, VLOOKUP(J137,Forest_data[#All],6,FALSE)),"")</f>
        <v/>
      </c>
      <c r="P137" s="257" t="str">
        <f t="shared" si="15"/>
        <v/>
      </c>
      <c r="Q137" s="257" t="str">
        <f t="shared" si="8"/>
        <v/>
      </c>
      <c r="R137" s="257" t="str">
        <f t="shared" si="13"/>
        <v/>
      </c>
      <c r="S137" s="283" t="str">
        <f t="shared" si="9"/>
        <v/>
      </c>
      <c r="T137" s="258" t="str">
        <f t="shared" si="10"/>
        <v/>
      </c>
      <c r="U137" s="257" t="str">
        <f t="shared" si="11"/>
        <v/>
      </c>
      <c r="V137" s="257" t="str">
        <f t="shared" si="14"/>
        <v/>
      </c>
      <c r="W137" s="283" t="str">
        <f t="shared" si="12"/>
        <v/>
      </c>
      <c r="X137" s="253"/>
      <c r="Y137" s="253"/>
      <c r="Z137" s="253"/>
      <c r="AA137" s="253"/>
      <c r="AB137" s="253"/>
      <c r="AC137" s="253"/>
      <c r="AD137" s="253"/>
      <c r="AE137" s="253"/>
      <c r="AF137" s="253"/>
      <c r="AG137" s="253"/>
      <c r="AH137" s="253"/>
      <c r="AI137" s="253"/>
      <c r="AJ137" s="253"/>
      <c r="AK137" s="253"/>
      <c r="AL137" s="253"/>
      <c r="AM137" s="253"/>
      <c r="AN137" s="253"/>
      <c r="AO137" s="253"/>
      <c r="AP137" s="253"/>
      <c r="AQ137" s="253"/>
      <c r="AR137" s="253"/>
      <c r="AS137" s="253"/>
      <c r="AT137" s="253"/>
      <c r="AU137" s="253"/>
      <c r="AV137" s="59"/>
    </row>
    <row r="138" spans="2:48" ht="19.5" customHeight="1" x14ac:dyDescent="0.25">
      <c r="B138" s="61"/>
      <c r="C138" s="61"/>
      <c r="D138" s="61"/>
      <c r="E138" s="61"/>
      <c r="F138" s="61"/>
      <c r="I138" s="83">
        <v>123</v>
      </c>
      <c r="J138" s="255" t="str">
        <f>IF(I138&lt;=MAX(Forest_data[Age]),I138,"")</f>
        <v/>
      </c>
      <c r="K138" s="256" t="str">
        <f>IF(ISNUMBER(J138),LOOKUP(J138, Forest_data[[#All],[Age]],Forest_data[[#All],[Number of trees per ha]]),"")</f>
        <v/>
      </c>
      <c r="L138" s="257" t="str">
        <f>IF(ISNUMBER(J138),IF(ISNA(VLOOKUP(J138,Forest_data[#All],3,FALSE)),#N/A, VLOOKUP(J138,Forest_data[#All],3,FALSE)),"")</f>
        <v/>
      </c>
      <c r="M138" s="257" t="str">
        <f>IF(ISNUMBER(J138),IF(ISNA(VLOOKUP(J138,Forest_data[#All],4,FALSE)),#N/A, VLOOKUP(J138,Forest_data[#All],4,FALSE)),"")</f>
        <v/>
      </c>
      <c r="N138" s="257" t="str">
        <f>IF(ISNUMBER(J138),IF(ISNA(VLOOKUP(J138,Forest_data[#All],5,FALSE)),#N/A, VLOOKUP(J138,Forest_data[#All],5,FALSE)),"")</f>
        <v/>
      </c>
      <c r="O138" s="257" t="str">
        <f>IF(ISNUMBER(J138),IF(ISNA(VLOOKUP(J138,Forest_data[#All],6,FALSE)),#N/A, VLOOKUP(J138,Forest_data[#All],6,FALSE)),"")</f>
        <v/>
      </c>
      <c r="P138" s="257" t="str">
        <f t="shared" si="15"/>
        <v/>
      </c>
      <c r="Q138" s="257" t="str">
        <f t="shared" si="8"/>
        <v/>
      </c>
      <c r="R138" s="257" t="str">
        <f t="shared" si="13"/>
        <v/>
      </c>
      <c r="S138" s="283" t="str">
        <f t="shared" si="9"/>
        <v/>
      </c>
      <c r="T138" s="258" t="str">
        <f t="shared" si="10"/>
        <v/>
      </c>
      <c r="U138" s="257" t="str">
        <f t="shared" si="11"/>
        <v/>
      </c>
      <c r="V138" s="257" t="str">
        <f t="shared" si="14"/>
        <v/>
      </c>
      <c r="W138" s="283" t="str">
        <f t="shared" si="12"/>
        <v/>
      </c>
      <c r="X138" s="253"/>
      <c r="Y138" s="253"/>
      <c r="Z138" s="253"/>
      <c r="AA138" s="253"/>
      <c r="AB138" s="253"/>
      <c r="AC138" s="253"/>
      <c r="AD138" s="253"/>
      <c r="AE138" s="253"/>
      <c r="AF138" s="253"/>
      <c r="AG138" s="253"/>
      <c r="AH138" s="253"/>
      <c r="AI138" s="253"/>
      <c r="AJ138" s="253"/>
      <c r="AK138" s="253"/>
      <c r="AL138" s="253"/>
      <c r="AM138" s="253"/>
      <c r="AN138" s="253"/>
      <c r="AO138" s="253"/>
      <c r="AP138" s="253"/>
      <c r="AQ138" s="253"/>
      <c r="AR138" s="253"/>
      <c r="AS138" s="253"/>
      <c r="AT138" s="253"/>
      <c r="AU138" s="253"/>
      <c r="AV138" s="59"/>
    </row>
    <row r="139" spans="2:48" ht="19.5" customHeight="1" x14ac:dyDescent="0.25">
      <c r="B139" s="61"/>
      <c r="C139" s="61"/>
      <c r="D139" s="61"/>
      <c r="E139" s="61"/>
      <c r="F139" s="61"/>
      <c r="I139" s="260">
        <v>124</v>
      </c>
      <c r="J139" s="255" t="str">
        <f>IF(I139&lt;=MAX(Forest_data[Age]),I139,"")</f>
        <v/>
      </c>
      <c r="K139" s="256" t="str">
        <f>IF(ISNUMBER(J139),LOOKUP(J139, Forest_data[[#All],[Age]],Forest_data[[#All],[Number of trees per ha]]),"")</f>
        <v/>
      </c>
      <c r="L139" s="257" t="str">
        <f>IF(ISNUMBER(J139),IF(ISNA(VLOOKUP(J139,Forest_data[#All],3,FALSE)),#N/A, VLOOKUP(J139,Forest_data[#All],3,FALSE)),"")</f>
        <v/>
      </c>
      <c r="M139" s="257" t="str">
        <f>IF(ISNUMBER(J139),IF(ISNA(VLOOKUP(J139,Forest_data[#All],4,FALSE)),#N/A, VLOOKUP(J139,Forest_data[#All],4,FALSE)),"")</f>
        <v/>
      </c>
      <c r="N139" s="257" t="str">
        <f>IF(ISNUMBER(J139),IF(ISNA(VLOOKUP(J139,Forest_data[#All],5,FALSE)),#N/A, VLOOKUP(J139,Forest_data[#All],5,FALSE)),"")</f>
        <v/>
      </c>
      <c r="O139" s="257" t="str">
        <f>IF(ISNUMBER(J139),IF(ISNA(VLOOKUP(J139,Forest_data[#All],6,FALSE)),#N/A, VLOOKUP(J139,Forest_data[#All],6,FALSE)),"")</f>
        <v/>
      </c>
      <c r="P139" s="257" t="str">
        <f t="shared" si="15"/>
        <v/>
      </c>
      <c r="Q139" s="257" t="str">
        <f t="shared" si="8"/>
        <v/>
      </c>
      <c r="R139" s="257" t="str">
        <f t="shared" si="13"/>
        <v/>
      </c>
      <c r="S139" s="283" t="str">
        <f t="shared" si="9"/>
        <v/>
      </c>
      <c r="T139" s="258" t="str">
        <f t="shared" si="10"/>
        <v/>
      </c>
      <c r="U139" s="257" t="str">
        <f t="shared" si="11"/>
        <v/>
      </c>
      <c r="V139" s="257" t="str">
        <f t="shared" si="14"/>
        <v/>
      </c>
      <c r="W139" s="283" t="str">
        <f t="shared" si="12"/>
        <v/>
      </c>
      <c r="X139" s="253"/>
      <c r="Y139" s="253"/>
      <c r="Z139" s="253"/>
      <c r="AA139" s="253"/>
      <c r="AB139" s="253"/>
      <c r="AC139" s="253"/>
      <c r="AD139" s="253"/>
      <c r="AE139" s="253"/>
      <c r="AF139" s="253"/>
      <c r="AG139" s="253"/>
      <c r="AH139" s="253"/>
      <c r="AI139" s="253"/>
      <c r="AJ139" s="253"/>
      <c r="AK139" s="253"/>
      <c r="AL139" s="253"/>
      <c r="AM139" s="253"/>
      <c r="AN139" s="253"/>
      <c r="AO139" s="253"/>
      <c r="AP139" s="253"/>
      <c r="AQ139" s="253"/>
      <c r="AR139" s="253"/>
      <c r="AS139" s="253"/>
      <c r="AT139" s="253"/>
      <c r="AU139" s="253"/>
      <c r="AV139" s="59"/>
    </row>
    <row r="140" spans="2:48" ht="19.5" customHeight="1" x14ac:dyDescent="0.25">
      <c r="B140" s="61"/>
      <c r="C140" s="61"/>
      <c r="D140" s="61"/>
      <c r="E140" s="61"/>
      <c r="F140" s="61"/>
      <c r="I140" s="83">
        <v>125</v>
      </c>
      <c r="J140" s="255" t="str">
        <f>IF(I140&lt;=MAX(Forest_data[Age]),I140,"")</f>
        <v/>
      </c>
      <c r="K140" s="256" t="str">
        <f>IF(ISNUMBER(J140),LOOKUP(J140, Forest_data[[#All],[Age]],Forest_data[[#All],[Number of trees per ha]]),"")</f>
        <v/>
      </c>
      <c r="L140" s="257" t="str">
        <f>IF(ISNUMBER(J140),IF(ISNA(VLOOKUP(J140,Forest_data[#All],3,FALSE)),#N/A, VLOOKUP(J140,Forest_data[#All],3,FALSE)),"")</f>
        <v/>
      </c>
      <c r="M140" s="257" t="str">
        <f>IF(ISNUMBER(J140),IF(ISNA(VLOOKUP(J140,Forest_data[#All],4,FALSE)),#N/A, VLOOKUP(J140,Forest_data[#All],4,FALSE)),"")</f>
        <v/>
      </c>
      <c r="N140" s="257" t="str">
        <f>IF(ISNUMBER(J140),IF(ISNA(VLOOKUP(J140,Forest_data[#All],5,FALSE)),#N/A, VLOOKUP(J140,Forest_data[#All],5,FALSE)),"")</f>
        <v/>
      </c>
      <c r="O140" s="257" t="str">
        <f>IF(ISNUMBER(J140),IF(ISNA(VLOOKUP(J140,Forest_data[#All],6,FALSE)),#N/A, VLOOKUP(J140,Forest_data[#All],6,FALSE)),"")</f>
        <v/>
      </c>
      <c r="P140" s="257" t="str">
        <f t="shared" si="15"/>
        <v/>
      </c>
      <c r="Q140" s="257" t="str">
        <f t="shared" si="8"/>
        <v/>
      </c>
      <c r="R140" s="257" t="str">
        <f t="shared" si="13"/>
        <v/>
      </c>
      <c r="S140" s="283" t="str">
        <f t="shared" si="9"/>
        <v/>
      </c>
      <c r="T140" s="258" t="str">
        <f t="shared" si="10"/>
        <v/>
      </c>
      <c r="U140" s="257" t="str">
        <f t="shared" si="11"/>
        <v/>
      </c>
      <c r="V140" s="257" t="str">
        <f t="shared" si="14"/>
        <v/>
      </c>
      <c r="W140" s="283" t="str">
        <f t="shared" si="12"/>
        <v/>
      </c>
      <c r="X140" s="253"/>
      <c r="Y140" s="253"/>
      <c r="Z140" s="253"/>
      <c r="AA140" s="253"/>
      <c r="AB140" s="253"/>
      <c r="AC140" s="253"/>
      <c r="AD140" s="253"/>
      <c r="AE140" s="253"/>
      <c r="AF140" s="253"/>
      <c r="AG140" s="253"/>
      <c r="AH140" s="253"/>
      <c r="AI140" s="253"/>
      <c r="AJ140" s="253"/>
      <c r="AK140" s="253"/>
      <c r="AL140" s="253"/>
      <c r="AM140" s="253"/>
      <c r="AN140" s="253"/>
      <c r="AO140" s="253"/>
      <c r="AP140" s="253"/>
      <c r="AQ140" s="253"/>
      <c r="AR140" s="253"/>
      <c r="AS140" s="253"/>
      <c r="AT140" s="253"/>
      <c r="AU140" s="253"/>
      <c r="AV140" s="59"/>
    </row>
    <row r="141" spans="2:48" ht="19.5" customHeight="1" x14ac:dyDescent="0.25">
      <c r="B141" s="61"/>
      <c r="C141" s="61"/>
      <c r="D141" s="61"/>
      <c r="E141" s="61"/>
      <c r="F141" s="61"/>
      <c r="I141" s="83">
        <v>126</v>
      </c>
      <c r="J141" s="255" t="str">
        <f>IF(I141&lt;=MAX(Forest_data[Age]),I141,"")</f>
        <v/>
      </c>
      <c r="K141" s="256" t="str">
        <f>IF(ISNUMBER(J141),LOOKUP(J141, Forest_data[[#All],[Age]],Forest_data[[#All],[Number of trees per ha]]),"")</f>
        <v/>
      </c>
      <c r="L141" s="257" t="str">
        <f>IF(ISNUMBER(J141),IF(ISNA(VLOOKUP(J141,Forest_data[#All],3,FALSE)),#N/A, VLOOKUP(J141,Forest_data[#All],3,FALSE)),"")</f>
        <v/>
      </c>
      <c r="M141" s="257" t="str">
        <f>IF(ISNUMBER(J141),IF(ISNA(VLOOKUP(J141,Forest_data[#All],4,FALSE)),#N/A, VLOOKUP(J141,Forest_data[#All],4,FALSE)),"")</f>
        <v/>
      </c>
      <c r="N141" s="257" t="str">
        <f>IF(ISNUMBER(J141),IF(ISNA(VLOOKUP(J141,Forest_data[#All],5,FALSE)),#N/A, VLOOKUP(J141,Forest_data[#All],5,FALSE)),"")</f>
        <v/>
      </c>
      <c r="O141" s="257" t="str">
        <f>IF(ISNUMBER(J141),IF(ISNA(VLOOKUP(J141,Forest_data[#All],6,FALSE)),#N/A, VLOOKUP(J141,Forest_data[#All],6,FALSE)),"")</f>
        <v/>
      </c>
      <c r="P141" s="257" t="str">
        <f t="shared" si="15"/>
        <v/>
      </c>
      <c r="Q141" s="257" t="str">
        <f t="shared" si="8"/>
        <v/>
      </c>
      <c r="R141" s="257" t="str">
        <f t="shared" si="13"/>
        <v/>
      </c>
      <c r="S141" s="283" t="str">
        <f t="shared" si="9"/>
        <v/>
      </c>
      <c r="T141" s="258" t="str">
        <f t="shared" si="10"/>
        <v/>
      </c>
      <c r="U141" s="257" t="str">
        <f t="shared" si="11"/>
        <v/>
      </c>
      <c r="V141" s="257" t="str">
        <f t="shared" si="14"/>
        <v/>
      </c>
      <c r="W141" s="283" t="str">
        <f t="shared" si="12"/>
        <v/>
      </c>
      <c r="X141" s="253"/>
      <c r="Y141" s="253"/>
      <c r="Z141" s="253"/>
      <c r="AA141" s="253"/>
      <c r="AB141" s="253"/>
      <c r="AC141" s="253"/>
      <c r="AD141" s="253"/>
      <c r="AE141" s="253"/>
      <c r="AF141" s="253"/>
      <c r="AG141" s="253"/>
      <c r="AH141" s="253"/>
      <c r="AI141" s="253"/>
      <c r="AJ141" s="253"/>
      <c r="AK141" s="253"/>
      <c r="AL141" s="253"/>
      <c r="AM141" s="253"/>
      <c r="AN141" s="253"/>
      <c r="AO141" s="253"/>
      <c r="AP141" s="253"/>
      <c r="AQ141" s="253"/>
      <c r="AR141" s="253"/>
      <c r="AS141" s="253"/>
      <c r="AT141" s="253"/>
      <c r="AU141" s="253"/>
      <c r="AV141" s="59"/>
    </row>
    <row r="142" spans="2:48" ht="19.5" customHeight="1" x14ac:dyDescent="0.25">
      <c r="B142" s="61"/>
      <c r="C142" s="61"/>
      <c r="D142" s="61"/>
      <c r="E142" s="61"/>
      <c r="F142" s="61"/>
      <c r="I142" s="83">
        <v>127</v>
      </c>
      <c r="J142" s="255" t="str">
        <f>IF(I142&lt;=MAX(Forest_data[Age]),I142,"")</f>
        <v/>
      </c>
      <c r="K142" s="256" t="str">
        <f>IF(ISNUMBER(J142),LOOKUP(J142, Forest_data[[#All],[Age]],Forest_data[[#All],[Number of trees per ha]]),"")</f>
        <v/>
      </c>
      <c r="L142" s="257" t="str">
        <f>IF(ISNUMBER(J142),IF(ISNA(VLOOKUP(J142,Forest_data[#All],3,FALSE)),#N/A, VLOOKUP(J142,Forest_data[#All],3,FALSE)),"")</f>
        <v/>
      </c>
      <c r="M142" s="257" t="str">
        <f>IF(ISNUMBER(J142),IF(ISNA(VLOOKUP(J142,Forest_data[#All],4,FALSE)),#N/A, VLOOKUP(J142,Forest_data[#All],4,FALSE)),"")</f>
        <v/>
      </c>
      <c r="N142" s="257" t="str">
        <f>IF(ISNUMBER(J142),IF(ISNA(VLOOKUP(J142,Forest_data[#All],5,FALSE)),#N/A, VLOOKUP(J142,Forest_data[#All],5,FALSE)),"")</f>
        <v/>
      </c>
      <c r="O142" s="257" t="str">
        <f>IF(ISNUMBER(J142),IF(ISNA(VLOOKUP(J142,Forest_data[#All],6,FALSE)),#N/A, VLOOKUP(J142,Forest_data[#All],6,FALSE)),"")</f>
        <v/>
      </c>
      <c r="P142" s="257" t="str">
        <f t="shared" si="15"/>
        <v/>
      </c>
      <c r="Q142" s="257" t="str">
        <f t="shared" si="8"/>
        <v/>
      </c>
      <c r="R142" s="257" t="str">
        <f t="shared" si="13"/>
        <v/>
      </c>
      <c r="S142" s="283" t="str">
        <f t="shared" si="9"/>
        <v/>
      </c>
      <c r="T142" s="258" t="str">
        <f t="shared" si="10"/>
        <v/>
      </c>
      <c r="U142" s="257" t="str">
        <f t="shared" si="11"/>
        <v/>
      </c>
      <c r="V142" s="257" t="str">
        <f t="shared" si="14"/>
        <v/>
      </c>
      <c r="W142" s="283" t="str">
        <f t="shared" si="12"/>
        <v/>
      </c>
      <c r="X142" s="253"/>
      <c r="Y142" s="253"/>
      <c r="Z142" s="253"/>
      <c r="AA142" s="253"/>
      <c r="AB142" s="253"/>
      <c r="AC142" s="253"/>
      <c r="AD142" s="253"/>
      <c r="AE142" s="253"/>
      <c r="AF142" s="253"/>
      <c r="AG142" s="253"/>
      <c r="AH142" s="253"/>
      <c r="AI142" s="253"/>
      <c r="AJ142" s="253"/>
      <c r="AK142" s="253"/>
      <c r="AL142" s="253"/>
      <c r="AM142" s="253"/>
      <c r="AN142" s="253"/>
      <c r="AO142" s="253"/>
      <c r="AP142" s="253"/>
      <c r="AQ142" s="253"/>
      <c r="AR142" s="253"/>
      <c r="AS142" s="253"/>
      <c r="AT142" s="253"/>
      <c r="AU142" s="253"/>
      <c r="AV142" s="59"/>
    </row>
    <row r="143" spans="2:48" ht="19.5" customHeight="1" x14ac:dyDescent="0.25">
      <c r="B143" s="61"/>
      <c r="C143" s="61"/>
      <c r="D143" s="61"/>
      <c r="E143" s="61"/>
      <c r="F143" s="61"/>
      <c r="I143" s="260">
        <v>128</v>
      </c>
      <c r="J143" s="255" t="str">
        <f>IF(I143&lt;=MAX(Forest_data[Age]),I143,"")</f>
        <v/>
      </c>
      <c r="K143" s="256" t="str">
        <f>IF(ISNUMBER(J143),LOOKUP(J143, Forest_data[[#All],[Age]],Forest_data[[#All],[Number of trees per ha]]),"")</f>
        <v/>
      </c>
      <c r="L143" s="257" t="str">
        <f>IF(ISNUMBER(J143),IF(ISNA(VLOOKUP(J143,Forest_data[#All],3,FALSE)),#N/A, VLOOKUP(J143,Forest_data[#All],3,FALSE)),"")</f>
        <v/>
      </c>
      <c r="M143" s="257" t="str">
        <f>IF(ISNUMBER(J143),IF(ISNA(VLOOKUP(J143,Forest_data[#All],4,FALSE)),#N/A, VLOOKUP(J143,Forest_data[#All],4,FALSE)),"")</f>
        <v/>
      </c>
      <c r="N143" s="257" t="str">
        <f>IF(ISNUMBER(J143),IF(ISNA(VLOOKUP(J143,Forest_data[#All],5,FALSE)),#N/A, VLOOKUP(J143,Forest_data[#All],5,FALSE)),"")</f>
        <v/>
      </c>
      <c r="O143" s="257" t="str">
        <f>IF(ISNUMBER(J143),IF(ISNA(VLOOKUP(J143,Forest_data[#All],6,FALSE)),#N/A, VLOOKUP(J143,Forest_data[#All],6,FALSE)),"")</f>
        <v/>
      </c>
      <c r="P143" s="257" t="str">
        <f t="shared" si="15"/>
        <v/>
      </c>
      <c r="Q143" s="257" t="str">
        <f t="shared" si="8"/>
        <v/>
      </c>
      <c r="R143" s="257" t="str">
        <f t="shared" si="13"/>
        <v/>
      </c>
      <c r="S143" s="283" t="str">
        <f t="shared" si="9"/>
        <v/>
      </c>
      <c r="T143" s="258" t="str">
        <f t="shared" si="10"/>
        <v/>
      </c>
      <c r="U143" s="257" t="str">
        <f t="shared" si="11"/>
        <v/>
      </c>
      <c r="V143" s="257" t="str">
        <f t="shared" si="14"/>
        <v/>
      </c>
      <c r="W143" s="283" t="str">
        <f t="shared" si="12"/>
        <v/>
      </c>
      <c r="X143" s="253"/>
      <c r="Y143" s="253"/>
      <c r="Z143" s="253"/>
      <c r="AA143" s="253"/>
      <c r="AB143" s="253"/>
      <c r="AC143" s="253"/>
      <c r="AD143" s="253"/>
      <c r="AE143" s="253"/>
      <c r="AF143" s="253"/>
      <c r="AG143" s="253"/>
      <c r="AH143" s="253"/>
      <c r="AI143" s="253"/>
      <c r="AJ143" s="253"/>
      <c r="AK143" s="253"/>
      <c r="AL143" s="253"/>
      <c r="AM143" s="253"/>
      <c r="AN143" s="253"/>
      <c r="AO143" s="253"/>
      <c r="AP143" s="253"/>
      <c r="AQ143" s="253"/>
      <c r="AR143" s="253"/>
      <c r="AS143" s="253"/>
      <c r="AT143" s="253"/>
      <c r="AU143" s="253"/>
      <c r="AV143" s="59"/>
    </row>
    <row r="144" spans="2:48" ht="19.5" customHeight="1" x14ac:dyDescent="0.25">
      <c r="B144" s="61"/>
      <c r="C144" s="61"/>
      <c r="D144" s="61"/>
      <c r="E144" s="61"/>
      <c r="F144" s="61"/>
      <c r="I144" s="83">
        <v>129</v>
      </c>
      <c r="J144" s="255" t="str">
        <f>IF(I144&lt;=MAX(Forest_data[Age]),I144,"")</f>
        <v/>
      </c>
      <c r="K144" s="256" t="str">
        <f>IF(ISNUMBER(J144),LOOKUP(J144, Forest_data[[#All],[Age]],Forest_data[[#All],[Number of trees per ha]]),"")</f>
        <v/>
      </c>
      <c r="L144" s="257" t="str">
        <f>IF(ISNUMBER(J144),IF(ISNA(VLOOKUP(J144,Forest_data[#All],3,FALSE)),#N/A, VLOOKUP(J144,Forest_data[#All],3,FALSE)),"")</f>
        <v/>
      </c>
      <c r="M144" s="257" t="str">
        <f>IF(ISNUMBER(J144),IF(ISNA(VLOOKUP(J144,Forest_data[#All],4,FALSE)),#N/A, VLOOKUP(J144,Forest_data[#All],4,FALSE)),"")</f>
        <v/>
      </c>
      <c r="N144" s="257" t="str">
        <f>IF(ISNUMBER(J144),IF(ISNA(VLOOKUP(J144,Forest_data[#All],5,FALSE)),#N/A, VLOOKUP(J144,Forest_data[#All],5,FALSE)),"")</f>
        <v/>
      </c>
      <c r="O144" s="257" t="str">
        <f>IF(ISNUMBER(J144),IF(ISNA(VLOOKUP(J144,Forest_data[#All],6,FALSE)),#N/A, VLOOKUP(J144,Forest_data[#All],6,FALSE)),"")</f>
        <v/>
      </c>
      <c r="P144" s="257" t="str">
        <f t="shared" si="15"/>
        <v/>
      </c>
      <c r="Q144" s="257" t="str">
        <f t="shared" ref="Q144:Q207" si="16">IF(ISNUMBER(J144),IF($B$85*POWER(J144,2)+$C$85*J144+$D$85&lt;0,M144,$B$85*POWER(J144,2)+$C$85*J144+$D$85),"")</f>
        <v/>
      </c>
      <c r="R144" s="257" t="str">
        <f t="shared" si="13"/>
        <v/>
      </c>
      <c r="S144" s="283" t="str">
        <f t="shared" ref="S144:S207" si="17">IF(ISNUMBER(J144),IF($B$91*POWER(J144,2)+$C$91*J144+$D$91&lt;0,O144,$B$91*POWER(J144,2)+$C$91*J144+$D$91),"")</f>
        <v/>
      </c>
      <c r="T144" s="258" t="str">
        <f t="shared" ref="T144:T207" si="18">IF(ISNUMBER(J144),IF(+$B$83*POWER(J144,3)+$C$83*POWER(J144,2)+$D$83*POWER(J144,1)+$E$83&lt;0,L144,+$B$83*POWER(J144,3)+$C$83*POWER(J144,2)+$D$83*POWER(J144,1)+$E$83),"")</f>
        <v/>
      </c>
      <c r="U144" s="257" t="str">
        <f t="shared" ref="U144:U207" si="19">IF(ISNUMBER(J144),IF(+$B$86*POWER(J144,3)+$C$86*POWER(J144,2)+$D$86*POWER(J144,1)+$E$86&lt;0,M144,+$B$86*POWER(J144,3)+$C$86*POWER(J144,2)+$D$86*POWER(J144,1)+$E$86),"")</f>
        <v/>
      </c>
      <c r="V144" s="257" t="str">
        <f t="shared" si="14"/>
        <v/>
      </c>
      <c r="W144" s="283" t="str">
        <f t="shared" ref="W144:W207" si="20">IF(ISNUMBER(J144),IF(+$B$92*POWER(J144,3)+$C$92*POWER(J144,2)+$D$92*POWER(J144,1)+$E$92&lt;0,O144,+$B$92*POWER(J144,3)+$C$92*POWER(J144,2)+$D$92*POWER(J144,1)+$E$92),"")</f>
        <v/>
      </c>
      <c r="X144" s="253"/>
      <c r="Y144" s="253"/>
      <c r="Z144" s="253"/>
      <c r="AA144" s="253"/>
      <c r="AB144" s="253"/>
      <c r="AC144" s="253"/>
      <c r="AD144" s="253"/>
      <c r="AE144" s="253"/>
      <c r="AF144" s="253"/>
      <c r="AG144" s="253"/>
      <c r="AH144" s="253"/>
      <c r="AI144" s="253"/>
      <c r="AJ144" s="253"/>
      <c r="AK144" s="253"/>
      <c r="AL144" s="253"/>
      <c r="AM144" s="253"/>
      <c r="AN144" s="253"/>
      <c r="AO144" s="253"/>
      <c r="AP144" s="253"/>
      <c r="AQ144" s="253"/>
      <c r="AR144" s="253"/>
      <c r="AS144" s="253"/>
      <c r="AT144" s="253"/>
      <c r="AU144" s="253"/>
      <c r="AV144" s="59"/>
    </row>
    <row r="145" spans="2:48" ht="19.5" customHeight="1" x14ac:dyDescent="0.25">
      <c r="B145" s="61"/>
      <c r="C145" s="61"/>
      <c r="D145" s="61"/>
      <c r="E145" s="61"/>
      <c r="F145" s="61"/>
      <c r="I145" s="83">
        <v>130</v>
      </c>
      <c r="J145" s="255" t="str">
        <f>IF(I145&lt;=MAX(Forest_data[Age]),I145,"")</f>
        <v/>
      </c>
      <c r="K145" s="256" t="str">
        <f>IF(ISNUMBER(J145),LOOKUP(J145, Forest_data[[#All],[Age]],Forest_data[[#All],[Number of trees per ha]]),"")</f>
        <v/>
      </c>
      <c r="L145" s="257" t="str">
        <f>IF(ISNUMBER(J145),IF(ISNA(VLOOKUP(J145,Forest_data[#All],3,FALSE)),#N/A, VLOOKUP(J145,Forest_data[#All],3,FALSE)),"")</f>
        <v/>
      </c>
      <c r="M145" s="257" t="str">
        <f>IF(ISNUMBER(J145),IF(ISNA(VLOOKUP(J145,Forest_data[#All],4,FALSE)),#N/A, VLOOKUP(J145,Forest_data[#All],4,FALSE)),"")</f>
        <v/>
      </c>
      <c r="N145" s="257" t="str">
        <f>IF(ISNUMBER(J145),IF(ISNA(VLOOKUP(J145,Forest_data[#All],5,FALSE)),#N/A, VLOOKUP(J145,Forest_data[#All],5,FALSE)),"")</f>
        <v/>
      </c>
      <c r="O145" s="257" t="str">
        <f>IF(ISNUMBER(J145),IF(ISNA(VLOOKUP(J145,Forest_data[#All],6,FALSE)),#N/A, VLOOKUP(J145,Forest_data[#All],6,FALSE)),"")</f>
        <v/>
      </c>
      <c r="P145" s="257" t="str">
        <f t="shared" si="15"/>
        <v/>
      </c>
      <c r="Q145" s="257" t="str">
        <f t="shared" si="16"/>
        <v/>
      </c>
      <c r="R145" s="257" t="str">
        <f t="shared" ref="R145:R208" si="21">IF(ISNUMBER(J145),IF($B$88*POWER(J145,2)+$C$88*J145+$D$88&lt;0,M145,$B$88*POWER(J145,2)+$C$88*J145+$D$88),"")</f>
        <v/>
      </c>
      <c r="S145" s="283" t="str">
        <f t="shared" si="17"/>
        <v/>
      </c>
      <c r="T145" s="258" t="str">
        <f t="shared" si="18"/>
        <v/>
      </c>
      <c r="U145" s="257" t="str">
        <f t="shared" si="19"/>
        <v/>
      </c>
      <c r="V145" s="257" t="str">
        <f t="shared" ref="V145:V208" si="22">IF(ISNUMBER(J145),IF(+$B$89*POWER(J145,3)+$C$89*POWER(J145,2)+$D$89*POWER(J145,1)+$E$89&lt;0,M145,+$B$89*POWER(J145,3)+$C$89*POWER(J145,2)+$D$89*POWER(J145,1)+$E$89),"")</f>
        <v/>
      </c>
      <c r="W145" s="283" t="str">
        <f t="shared" si="20"/>
        <v/>
      </c>
      <c r="X145" s="253"/>
      <c r="Y145" s="253"/>
      <c r="Z145" s="253"/>
      <c r="AA145" s="253"/>
      <c r="AB145" s="253"/>
      <c r="AC145" s="253"/>
      <c r="AD145" s="253"/>
      <c r="AE145" s="253"/>
      <c r="AF145" s="253"/>
      <c r="AG145" s="253"/>
      <c r="AH145" s="253"/>
      <c r="AI145" s="253"/>
      <c r="AJ145" s="253"/>
      <c r="AK145" s="253"/>
      <c r="AL145" s="253"/>
      <c r="AM145" s="253"/>
      <c r="AN145" s="253"/>
      <c r="AO145" s="253"/>
      <c r="AP145" s="253"/>
      <c r="AQ145" s="253"/>
      <c r="AR145" s="253"/>
      <c r="AS145" s="253"/>
      <c r="AT145" s="253"/>
      <c r="AU145" s="253"/>
      <c r="AV145" s="59"/>
    </row>
    <row r="146" spans="2:48" ht="19.5" customHeight="1" x14ac:dyDescent="0.25">
      <c r="B146" s="61"/>
      <c r="C146" s="61"/>
      <c r="D146" s="61"/>
      <c r="E146" s="61"/>
      <c r="F146" s="61"/>
      <c r="I146" s="83">
        <v>131</v>
      </c>
      <c r="J146" s="255" t="str">
        <f>IF(I146&lt;=MAX(Forest_data[Age]),I146,"")</f>
        <v/>
      </c>
      <c r="K146" s="256" t="str">
        <f>IF(ISNUMBER(J146),LOOKUP(J146, Forest_data[[#All],[Age]],Forest_data[[#All],[Number of trees per ha]]),"")</f>
        <v/>
      </c>
      <c r="L146" s="257" t="str">
        <f>IF(ISNUMBER(J146),IF(ISNA(VLOOKUP(J146,Forest_data[#All],3,FALSE)),#N/A, VLOOKUP(J146,Forest_data[#All],3,FALSE)),"")</f>
        <v/>
      </c>
      <c r="M146" s="257" t="str">
        <f>IF(ISNUMBER(J146),IF(ISNA(VLOOKUP(J146,Forest_data[#All],4,FALSE)),#N/A, VLOOKUP(J146,Forest_data[#All],4,FALSE)),"")</f>
        <v/>
      </c>
      <c r="N146" s="257" t="str">
        <f>IF(ISNUMBER(J146),IF(ISNA(VLOOKUP(J146,Forest_data[#All],5,FALSE)),#N/A, VLOOKUP(J146,Forest_data[#All],5,FALSE)),"")</f>
        <v/>
      </c>
      <c r="O146" s="257" t="str">
        <f>IF(ISNUMBER(J146),IF(ISNA(VLOOKUP(J146,Forest_data[#All],6,FALSE)),#N/A, VLOOKUP(J146,Forest_data[#All],6,FALSE)),"")</f>
        <v/>
      </c>
      <c r="P146" s="257" t="str">
        <f t="shared" ref="P146:P209" si="23">IF(ISNUMBER(J146),IF($B$82*POWER(J146,2)+$C$82*J146+$D$82&lt;0,L146,$B$82*POWER(J146,2)+$C$82*J146+$D$82),"")</f>
        <v/>
      </c>
      <c r="Q146" s="257" t="str">
        <f t="shared" si="16"/>
        <v/>
      </c>
      <c r="R146" s="257" t="str">
        <f t="shared" si="21"/>
        <v/>
      </c>
      <c r="S146" s="283" t="str">
        <f t="shared" si="17"/>
        <v/>
      </c>
      <c r="T146" s="258" t="str">
        <f t="shared" si="18"/>
        <v/>
      </c>
      <c r="U146" s="257" t="str">
        <f t="shared" si="19"/>
        <v/>
      </c>
      <c r="V146" s="257" t="str">
        <f t="shared" si="22"/>
        <v/>
      </c>
      <c r="W146" s="283" t="str">
        <f t="shared" si="20"/>
        <v/>
      </c>
      <c r="X146" s="253"/>
      <c r="Y146" s="253"/>
      <c r="Z146" s="253"/>
      <c r="AA146" s="253"/>
      <c r="AB146" s="253"/>
      <c r="AC146" s="253"/>
      <c r="AD146" s="253"/>
      <c r="AE146" s="253"/>
      <c r="AF146" s="253"/>
      <c r="AG146" s="253"/>
      <c r="AH146" s="253"/>
      <c r="AI146" s="253"/>
      <c r="AJ146" s="253"/>
      <c r="AK146" s="253"/>
      <c r="AL146" s="253"/>
      <c r="AM146" s="253"/>
      <c r="AN146" s="253"/>
      <c r="AO146" s="253"/>
      <c r="AP146" s="253"/>
      <c r="AQ146" s="253"/>
      <c r="AR146" s="253"/>
      <c r="AS146" s="253"/>
      <c r="AT146" s="253"/>
      <c r="AU146" s="253"/>
      <c r="AV146" s="59"/>
    </row>
    <row r="147" spans="2:48" ht="19.5" customHeight="1" x14ac:dyDescent="0.25">
      <c r="B147" s="61"/>
      <c r="C147" s="61"/>
      <c r="D147" s="61"/>
      <c r="E147" s="61"/>
      <c r="F147" s="61"/>
      <c r="I147" s="260">
        <v>132</v>
      </c>
      <c r="J147" s="255" t="str">
        <f>IF(I147&lt;=MAX(Forest_data[Age]),I147,"")</f>
        <v/>
      </c>
      <c r="K147" s="256" t="str">
        <f>IF(ISNUMBER(J147),LOOKUP(J147, Forest_data[[#All],[Age]],Forest_data[[#All],[Number of trees per ha]]),"")</f>
        <v/>
      </c>
      <c r="L147" s="257" t="str">
        <f>IF(ISNUMBER(J147),IF(ISNA(VLOOKUP(J147,Forest_data[#All],3,FALSE)),#N/A, VLOOKUP(J147,Forest_data[#All],3,FALSE)),"")</f>
        <v/>
      </c>
      <c r="M147" s="257" t="str">
        <f>IF(ISNUMBER(J147),IF(ISNA(VLOOKUP(J147,Forest_data[#All],4,FALSE)),#N/A, VLOOKUP(J147,Forest_data[#All],4,FALSE)),"")</f>
        <v/>
      </c>
      <c r="N147" s="257" t="str">
        <f>IF(ISNUMBER(J147),IF(ISNA(VLOOKUP(J147,Forest_data[#All],5,FALSE)),#N/A, VLOOKUP(J147,Forest_data[#All],5,FALSE)),"")</f>
        <v/>
      </c>
      <c r="O147" s="257" t="str">
        <f>IF(ISNUMBER(J147),IF(ISNA(VLOOKUP(J147,Forest_data[#All],6,FALSE)),#N/A, VLOOKUP(J147,Forest_data[#All],6,FALSE)),"")</f>
        <v/>
      </c>
      <c r="P147" s="257" t="str">
        <f t="shared" si="23"/>
        <v/>
      </c>
      <c r="Q147" s="257" t="str">
        <f t="shared" si="16"/>
        <v/>
      </c>
      <c r="R147" s="257" t="str">
        <f t="shared" si="21"/>
        <v/>
      </c>
      <c r="S147" s="283" t="str">
        <f t="shared" si="17"/>
        <v/>
      </c>
      <c r="T147" s="258" t="str">
        <f t="shared" si="18"/>
        <v/>
      </c>
      <c r="U147" s="257" t="str">
        <f t="shared" si="19"/>
        <v/>
      </c>
      <c r="V147" s="257" t="str">
        <f t="shared" si="22"/>
        <v/>
      </c>
      <c r="W147" s="283" t="str">
        <f t="shared" si="20"/>
        <v/>
      </c>
      <c r="X147" s="253"/>
      <c r="Y147" s="253"/>
      <c r="Z147" s="253"/>
      <c r="AA147" s="253"/>
      <c r="AB147" s="253"/>
      <c r="AC147" s="253"/>
      <c r="AD147" s="253"/>
      <c r="AE147" s="253"/>
      <c r="AF147" s="253"/>
      <c r="AG147" s="253"/>
      <c r="AH147" s="253"/>
      <c r="AI147" s="253"/>
      <c r="AJ147" s="253"/>
      <c r="AK147" s="253"/>
      <c r="AL147" s="253"/>
      <c r="AM147" s="253"/>
      <c r="AN147" s="253"/>
      <c r="AO147" s="253"/>
      <c r="AP147" s="253"/>
      <c r="AQ147" s="253"/>
      <c r="AR147" s="253"/>
      <c r="AS147" s="253"/>
      <c r="AT147" s="253"/>
      <c r="AU147" s="253"/>
      <c r="AV147" s="59"/>
    </row>
    <row r="148" spans="2:48" ht="19.5" customHeight="1" x14ac:dyDescent="0.25">
      <c r="B148" s="61"/>
      <c r="C148" s="61"/>
      <c r="D148" s="61"/>
      <c r="E148" s="61"/>
      <c r="F148" s="61"/>
      <c r="I148" s="83">
        <v>133</v>
      </c>
      <c r="J148" s="255" t="str">
        <f>IF(I148&lt;=MAX(Forest_data[Age]),I148,"")</f>
        <v/>
      </c>
      <c r="K148" s="256" t="str">
        <f>IF(ISNUMBER(J148),LOOKUP(J148, Forest_data[[#All],[Age]],Forest_data[[#All],[Number of trees per ha]]),"")</f>
        <v/>
      </c>
      <c r="L148" s="257" t="str">
        <f>IF(ISNUMBER(J148),IF(ISNA(VLOOKUP(J148,Forest_data[#All],3,FALSE)),#N/A, VLOOKUP(J148,Forest_data[#All],3,FALSE)),"")</f>
        <v/>
      </c>
      <c r="M148" s="257" t="str">
        <f>IF(ISNUMBER(J148),IF(ISNA(VLOOKUP(J148,Forest_data[#All],4,FALSE)),#N/A, VLOOKUP(J148,Forest_data[#All],4,FALSE)),"")</f>
        <v/>
      </c>
      <c r="N148" s="257" t="str">
        <f>IF(ISNUMBER(J148),IF(ISNA(VLOOKUP(J148,Forest_data[#All],5,FALSE)),#N/A, VLOOKUP(J148,Forest_data[#All],5,FALSE)),"")</f>
        <v/>
      </c>
      <c r="O148" s="257" t="str">
        <f>IF(ISNUMBER(J148),IF(ISNA(VLOOKUP(J148,Forest_data[#All],6,FALSE)),#N/A, VLOOKUP(J148,Forest_data[#All],6,FALSE)),"")</f>
        <v/>
      </c>
      <c r="P148" s="257" t="str">
        <f t="shared" si="23"/>
        <v/>
      </c>
      <c r="Q148" s="257" t="str">
        <f t="shared" si="16"/>
        <v/>
      </c>
      <c r="R148" s="257" t="str">
        <f t="shared" si="21"/>
        <v/>
      </c>
      <c r="S148" s="283" t="str">
        <f t="shared" si="17"/>
        <v/>
      </c>
      <c r="T148" s="258" t="str">
        <f t="shared" si="18"/>
        <v/>
      </c>
      <c r="U148" s="257" t="str">
        <f t="shared" si="19"/>
        <v/>
      </c>
      <c r="V148" s="257" t="str">
        <f t="shared" si="22"/>
        <v/>
      </c>
      <c r="W148" s="283" t="str">
        <f t="shared" si="20"/>
        <v/>
      </c>
      <c r="X148" s="253"/>
      <c r="Y148" s="253"/>
      <c r="Z148" s="253"/>
      <c r="AA148" s="253"/>
      <c r="AB148" s="253"/>
      <c r="AC148" s="253"/>
      <c r="AD148" s="253"/>
      <c r="AE148" s="253"/>
      <c r="AF148" s="253"/>
      <c r="AG148" s="253"/>
      <c r="AH148" s="253"/>
      <c r="AI148" s="253"/>
      <c r="AJ148" s="253"/>
      <c r="AK148" s="253"/>
      <c r="AL148" s="253"/>
      <c r="AM148" s="253"/>
      <c r="AN148" s="253"/>
      <c r="AO148" s="253"/>
      <c r="AP148" s="253"/>
      <c r="AQ148" s="253"/>
      <c r="AR148" s="253"/>
      <c r="AS148" s="253"/>
      <c r="AT148" s="253"/>
      <c r="AU148" s="253"/>
      <c r="AV148" s="59"/>
    </row>
    <row r="149" spans="2:48" ht="19.5" customHeight="1" x14ac:dyDescent="0.25">
      <c r="B149" s="61"/>
      <c r="C149" s="61"/>
      <c r="D149" s="61"/>
      <c r="E149" s="61"/>
      <c r="F149" s="61"/>
      <c r="I149" s="83">
        <v>134</v>
      </c>
      <c r="J149" s="255" t="str">
        <f>IF(I149&lt;=MAX(Forest_data[Age]),I149,"")</f>
        <v/>
      </c>
      <c r="K149" s="256" t="str">
        <f>IF(ISNUMBER(J149),LOOKUP(J149, Forest_data[[#All],[Age]],Forest_data[[#All],[Number of trees per ha]]),"")</f>
        <v/>
      </c>
      <c r="L149" s="257" t="str">
        <f>IF(ISNUMBER(J149),IF(ISNA(VLOOKUP(J149,Forest_data[#All],3,FALSE)),#N/A, VLOOKUP(J149,Forest_data[#All],3,FALSE)),"")</f>
        <v/>
      </c>
      <c r="M149" s="257" t="str">
        <f>IF(ISNUMBER(J149),IF(ISNA(VLOOKUP(J149,Forest_data[#All],4,FALSE)),#N/A, VLOOKUP(J149,Forest_data[#All],4,FALSE)),"")</f>
        <v/>
      </c>
      <c r="N149" s="257" t="str">
        <f>IF(ISNUMBER(J149),IF(ISNA(VLOOKUP(J149,Forest_data[#All],5,FALSE)),#N/A, VLOOKUP(J149,Forest_data[#All],5,FALSE)),"")</f>
        <v/>
      </c>
      <c r="O149" s="257" t="str">
        <f>IF(ISNUMBER(J149),IF(ISNA(VLOOKUP(J149,Forest_data[#All],6,FALSE)),#N/A, VLOOKUP(J149,Forest_data[#All],6,FALSE)),"")</f>
        <v/>
      </c>
      <c r="P149" s="257" t="str">
        <f t="shared" si="23"/>
        <v/>
      </c>
      <c r="Q149" s="257" t="str">
        <f t="shared" si="16"/>
        <v/>
      </c>
      <c r="R149" s="257" t="str">
        <f t="shared" si="21"/>
        <v/>
      </c>
      <c r="S149" s="283" t="str">
        <f t="shared" si="17"/>
        <v/>
      </c>
      <c r="T149" s="258" t="str">
        <f t="shared" si="18"/>
        <v/>
      </c>
      <c r="U149" s="257" t="str">
        <f t="shared" si="19"/>
        <v/>
      </c>
      <c r="V149" s="257" t="str">
        <f t="shared" si="22"/>
        <v/>
      </c>
      <c r="W149" s="283" t="str">
        <f t="shared" si="20"/>
        <v/>
      </c>
      <c r="X149" s="253"/>
      <c r="Y149" s="253"/>
      <c r="Z149" s="253"/>
      <c r="AA149" s="253"/>
      <c r="AB149" s="253"/>
      <c r="AC149" s="253"/>
      <c r="AD149" s="253"/>
      <c r="AE149" s="253"/>
      <c r="AF149" s="253"/>
      <c r="AG149" s="253"/>
      <c r="AH149" s="253"/>
      <c r="AI149" s="253"/>
      <c r="AJ149" s="253"/>
      <c r="AK149" s="253"/>
      <c r="AL149" s="253"/>
      <c r="AM149" s="253"/>
      <c r="AN149" s="253"/>
      <c r="AO149" s="253"/>
      <c r="AP149" s="253"/>
      <c r="AQ149" s="253"/>
      <c r="AR149" s="253"/>
      <c r="AS149" s="253"/>
      <c r="AT149" s="253"/>
      <c r="AU149" s="253"/>
      <c r="AV149" s="59"/>
    </row>
    <row r="150" spans="2:48" ht="19.5" customHeight="1" x14ac:dyDescent="0.25">
      <c r="B150" s="61"/>
      <c r="C150" s="61"/>
      <c r="D150" s="61"/>
      <c r="E150" s="61"/>
      <c r="F150" s="61"/>
      <c r="I150" s="83">
        <v>135</v>
      </c>
      <c r="J150" s="255" t="str">
        <f>IF(I150&lt;=MAX(Forest_data[Age]),I150,"")</f>
        <v/>
      </c>
      <c r="K150" s="256" t="str">
        <f>IF(ISNUMBER(J150),LOOKUP(J150, Forest_data[[#All],[Age]],Forest_data[[#All],[Number of trees per ha]]),"")</f>
        <v/>
      </c>
      <c r="L150" s="257" t="str">
        <f>IF(ISNUMBER(J150),IF(ISNA(VLOOKUP(J150,Forest_data[#All],3,FALSE)),#N/A, VLOOKUP(J150,Forest_data[#All],3,FALSE)),"")</f>
        <v/>
      </c>
      <c r="M150" s="257" t="str">
        <f>IF(ISNUMBER(J150),IF(ISNA(VLOOKUP(J150,Forest_data[#All],4,FALSE)),#N/A, VLOOKUP(J150,Forest_data[#All],4,FALSE)),"")</f>
        <v/>
      </c>
      <c r="N150" s="257" t="str">
        <f>IF(ISNUMBER(J150),IF(ISNA(VLOOKUP(J150,Forest_data[#All],5,FALSE)),#N/A, VLOOKUP(J150,Forest_data[#All],5,FALSE)),"")</f>
        <v/>
      </c>
      <c r="O150" s="257" t="str">
        <f>IF(ISNUMBER(J150),IF(ISNA(VLOOKUP(J150,Forest_data[#All],6,FALSE)),#N/A, VLOOKUP(J150,Forest_data[#All],6,FALSE)),"")</f>
        <v/>
      </c>
      <c r="P150" s="257" t="str">
        <f t="shared" si="23"/>
        <v/>
      </c>
      <c r="Q150" s="257" t="str">
        <f t="shared" si="16"/>
        <v/>
      </c>
      <c r="R150" s="257" t="str">
        <f t="shared" si="21"/>
        <v/>
      </c>
      <c r="S150" s="283" t="str">
        <f t="shared" si="17"/>
        <v/>
      </c>
      <c r="T150" s="258" t="str">
        <f t="shared" si="18"/>
        <v/>
      </c>
      <c r="U150" s="257" t="str">
        <f t="shared" si="19"/>
        <v/>
      </c>
      <c r="V150" s="257" t="str">
        <f t="shared" si="22"/>
        <v/>
      </c>
      <c r="W150" s="283" t="str">
        <f t="shared" si="20"/>
        <v/>
      </c>
      <c r="X150" s="253"/>
      <c r="Y150" s="253"/>
      <c r="Z150" s="253"/>
      <c r="AA150" s="253"/>
      <c r="AB150" s="253"/>
      <c r="AC150" s="253"/>
      <c r="AD150" s="253"/>
      <c r="AE150" s="253"/>
      <c r="AF150" s="253"/>
      <c r="AG150" s="253"/>
      <c r="AH150" s="253"/>
      <c r="AI150" s="253"/>
      <c r="AJ150" s="253"/>
      <c r="AK150" s="253"/>
      <c r="AL150" s="253"/>
      <c r="AM150" s="253"/>
      <c r="AN150" s="253"/>
      <c r="AO150" s="253"/>
      <c r="AP150" s="253"/>
      <c r="AQ150" s="253"/>
      <c r="AR150" s="253"/>
      <c r="AS150" s="253"/>
      <c r="AT150" s="253"/>
      <c r="AU150" s="253"/>
      <c r="AV150" s="59"/>
    </row>
    <row r="151" spans="2:48" ht="19.5" customHeight="1" x14ac:dyDescent="0.25">
      <c r="B151" s="61"/>
      <c r="C151" s="61"/>
      <c r="D151" s="61"/>
      <c r="E151" s="61"/>
      <c r="F151" s="61"/>
      <c r="I151" s="260">
        <v>136</v>
      </c>
      <c r="J151" s="255" t="str">
        <f>IF(I151&lt;=MAX(Forest_data[Age]),I151,"")</f>
        <v/>
      </c>
      <c r="K151" s="256" t="str">
        <f>IF(ISNUMBER(J151),LOOKUP(J151, Forest_data[[#All],[Age]],Forest_data[[#All],[Number of trees per ha]]),"")</f>
        <v/>
      </c>
      <c r="L151" s="257" t="str">
        <f>IF(ISNUMBER(J151),IF(ISNA(VLOOKUP(J151,Forest_data[#All],3,FALSE)),#N/A, VLOOKUP(J151,Forest_data[#All],3,FALSE)),"")</f>
        <v/>
      </c>
      <c r="M151" s="257" t="str">
        <f>IF(ISNUMBER(J151),IF(ISNA(VLOOKUP(J151,Forest_data[#All],4,FALSE)),#N/A, VLOOKUP(J151,Forest_data[#All],4,FALSE)),"")</f>
        <v/>
      </c>
      <c r="N151" s="257" t="str">
        <f>IF(ISNUMBER(J151),IF(ISNA(VLOOKUP(J151,Forest_data[#All],5,FALSE)),#N/A, VLOOKUP(J151,Forest_data[#All],5,FALSE)),"")</f>
        <v/>
      </c>
      <c r="O151" s="257" t="str">
        <f>IF(ISNUMBER(J151),IF(ISNA(VLOOKUP(J151,Forest_data[#All],6,FALSE)),#N/A, VLOOKUP(J151,Forest_data[#All],6,FALSE)),"")</f>
        <v/>
      </c>
      <c r="P151" s="257" t="str">
        <f t="shared" si="23"/>
        <v/>
      </c>
      <c r="Q151" s="257" t="str">
        <f t="shared" si="16"/>
        <v/>
      </c>
      <c r="R151" s="257" t="str">
        <f t="shared" si="21"/>
        <v/>
      </c>
      <c r="S151" s="283" t="str">
        <f t="shared" si="17"/>
        <v/>
      </c>
      <c r="T151" s="258" t="str">
        <f t="shared" si="18"/>
        <v/>
      </c>
      <c r="U151" s="257" t="str">
        <f t="shared" si="19"/>
        <v/>
      </c>
      <c r="V151" s="257" t="str">
        <f t="shared" si="22"/>
        <v/>
      </c>
      <c r="W151" s="283" t="str">
        <f t="shared" si="20"/>
        <v/>
      </c>
      <c r="X151" s="253"/>
      <c r="Y151" s="253"/>
      <c r="Z151" s="253"/>
      <c r="AA151" s="253"/>
      <c r="AB151" s="253"/>
      <c r="AC151" s="253"/>
      <c r="AD151" s="253"/>
      <c r="AE151" s="253"/>
      <c r="AF151" s="253"/>
      <c r="AG151" s="253"/>
      <c r="AH151" s="253"/>
      <c r="AI151" s="253"/>
      <c r="AJ151" s="253"/>
      <c r="AK151" s="253"/>
      <c r="AL151" s="253"/>
      <c r="AM151" s="253"/>
      <c r="AN151" s="253"/>
      <c r="AO151" s="253"/>
      <c r="AP151" s="253"/>
      <c r="AQ151" s="253"/>
      <c r="AR151" s="253"/>
      <c r="AS151" s="253"/>
      <c r="AT151" s="253"/>
      <c r="AU151" s="253"/>
      <c r="AV151" s="59"/>
    </row>
    <row r="152" spans="2:48" ht="19.5" customHeight="1" x14ac:dyDescent="0.25">
      <c r="B152" s="61"/>
      <c r="C152" s="61"/>
      <c r="D152" s="61"/>
      <c r="E152" s="61"/>
      <c r="F152" s="61"/>
      <c r="I152" s="83">
        <v>137</v>
      </c>
      <c r="J152" s="255" t="str">
        <f>IF(I152&lt;=MAX(Forest_data[Age]),I152,"")</f>
        <v/>
      </c>
      <c r="K152" s="256" t="str">
        <f>IF(ISNUMBER(J152),LOOKUP(J152, Forest_data[[#All],[Age]],Forest_data[[#All],[Number of trees per ha]]),"")</f>
        <v/>
      </c>
      <c r="L152" s="257" t="str">
        <f>IF(ISNUMBER(J152),IF(ISNA(VLOOKUP(J152,Forest_data[#All],3,FALSE)),#N/A, VLOOKUP(J152,Forest_data[#All],3,FALSE)),"")</f>
        <v/>
      </c>
      <c r="M152" s="257" t="str">
        <f>IF(ISNUMBER(J152),IF(ISNA(VLOOKUP(J152,Forest_data[#All],4,FALSE)),#N/A, VLOOKUP(J152,Forest_data[#All],4,FALSE)),"")</f>
        <v/>
      </c>
      <c r="N152" s="257" t="str">
        <f>IF(ISNUMBER(J152),IF(ISNA(VLOOKUP(J152,Forest_data[#All],5,FALSE)),#N/A, VLOOKUP(J152,Forest_data[#All],5,FALSE)),"")</f>
        <v/>
      </c>
      <c r="O152" s="257" t="str">
        <f>IF(ISNUMBER(J152),IF(ISNA(VLOOKUP(J152,Forest_data[#All],6,FALSE)),#N/A, VLOOKUP(J152,Forest_data[#All],6,FALSE)),"")</f>
        <v/>
      </c>
      <c r="P152" s="257" t="str">
        <f t="shared" si="23"/>
        <v/>
      </c>
      <c r="Q152" s="257" t="str">
        <f t="shared" si="16"/>
        <v/>
      </c>
      <c r="R152" s="257" t="str">
        <f t="shared" si="21"/>
        <v/>
      </c>
      <c r="S152" s="283" t="str">
        <f t="shared" si="17"/>
        <v/>
      </c>
      <c r="T152" s="258" t="str">
        <f t="shared" si="18"/>
        <v/>
      </c>
      <c r="U152" s="257" t="str">
        <f t="shared" si="19"/>
        <v/>
      </c>
      <c r="V152" s="257" t="str">
        <f t="shared" si="22"/>
        <v/>
      </c>
      <c r="W152" s="283" t="str">
        <f t="shared" si="20"/>
        <v/>
      </c>
      <c r="X152" s="253"/>
      <c r="Y152" s="253"/>
      <c r="Z152" s="253"/>
      <c r="AA152" s="253"/>
      <c r="AB152" s="253"/>
      <c r="AC152" s="253"/>
      <c r="AD152" s="253"/>
      <c r="AE152" s="253"/>
      <c r="AF152" s="253"/>
      <c r="AG152" s="253"/>
      <c r="AH152" s="253"/>
      <c r="AI152" s="253"/>
      <c r="AJ152" s="253"/>
      <c r="AK152" s="253"/>
      <c r="AL152" s="253"/>
      <c r="AM152" s="253"/>
      <c r="AN152" s="253"/>
      <c r="AO152" s="253"/>
      <c r="AP152" s="253"/>
      <c r="AQ152" s="253"/>
      <c r="AR152" s="253"/>
      <c r="AS152" s="253"/>
      <c r="AT152" s="253"/>
      <c r="AU152" s="253"/>
      <c r="AV152" s="59"/>
    </row>
    <row r="153" spans="2:48" ht="19.5" customHeight="1" x14ac:dyDescent="0.25">
      <c r="B153" s="61"/>
      <c r="C153" s="61"/>
      <c r="D153" s="61"/>
      <c r="E153" s="61"/>
      <c r="F153" s="61"/>
      <c r="I153" s="83">
        <v>138</v>
      </c>
      <c r="J153" s="255" t="str">
        <f>IF(I153&lt;=MAX(Forest_data[Age]),I153,"")</f>
        <v/>
      </c>
      <c r="K153" s="256" t="str">
        <f>IF(ISNUMBER(J153),LOOKUP(J153, Forest_data[[#All],[Age]],Forest_data[[#All],[Number of trees per ha]]),"")</f>
        <v/>
      </c>
      <c r="L153" s="257" t="str">
        <f>IF(ISNUMBER(J153),IF(ISNA(VLOOKUP(J153,Forest_data[#All],3,FALSE)),#N/A, VLOOKUP(J153,Forest_data[#All],3,FALSE)),"")</f>
        <v/>
      </c>
      <c r="M153" s="257" t="str">
        <f>IF(ISNUMBER(J153),IF(ISNA(VLOOKUP(J153,Forest_data[#All],4,FALSE)),#N/A, VLOOKUP(J153,Forest_data[#All],4,FALSE)),"")</f>
        <v/>
      </c>
      <c r="N153" s="257" t="str">
        <f>IF(ISNUMBER(J153),IF(ISNA(VLOOKUP(J153,Forest_data[#All],5,FALSE)),#N/A, VLOOKUP(J153,Forest_data[#All],5,FALSE)),"")</f>
        <v/>
      </c>
      <c r="O153" s="257" t="str">
        <f>IF(ISNUMBER(J153),IF(ISNA(VLOOKUP(J153,Forest_data[#All],6,FALSE)),#N/A, VLOOKUP(J153,Forest_data[#All],6,FALSE)),"")</f>
        <v/>
      </c>
      <c r="P153" s="257" t="str">
        <f t="shared" si="23"/>
        <v/>
      </c>
      <c r="Q153" s="257" t="str">
        <f t="shared" si="16"/>
        <v/>
      </c>
      <c r="R153" s="257" t="str">
        <f t="shared" si="21"/>
        <v/>
      </c>
      <c r="S153" s="283" t="str">
        <f t="shared" si="17"/>
        <v/>
      </c>
      <c r="T153" s="258" t="str">
        <f t="shared" si="18"/>
        <v/>
      </c>
      <c r="U153" s="257" t="str">
        <f t="shared" si="19"/>
        <v/>
      </c>
      <c r="V153" s="257" t="str">
        <f t="shared" si="22"/>
        <v/>
      </c>
      <c r="W153" s="283" t="str">
        <f t="shared" si="20"/>
        <v/>
      </c>
      <c r="X153" s="253"/>
      <c r="Y153" s="253"/>
      <c r="Z153" s="253"/>
      <c r="AA153" s="253"/>
      <c r="AB153" s="253"/>
      <c r="AC153" s="253"/>
      <c r="AD153" s="253"/>
      <c r="AE153" s="253"/>
      <c r="AF153" s="253"/>
      <c r="AG153" s="253"/>
      <c r="AH153" s="253"/>
      <c r="AI153" s="253"/>
      <c r="AJ153" s="253"/>
      <c r="AK153" s="253"/>
      <c r="AL153" s="253"/>
      <c r="AM153" s="253"/>
      <c r="AN153" s="253"/>
      <c r="AO153" s="253"/>
      <c r="AP153" s="253"/>
      <c r="AQ153" s="253"/>
      <c r="AR153" s="253"/>
      <c r="AS153" s="253"/>
      <c r="AT153" s="253"/>
      <c r="AU153" s="253"/>
      <c r="AV153" s="59"/>
    </row>
    <row r="154" spans="2:48" ht="19.5" customHeight="1" x14ac:dyDescent="0.25">
      <c r="B154" s="61"/>
      <c r="C154" s="61"/>
      <c r="D154" s="61"/>
      <c r="E154" s="61"/>
      <c r="F154" s="61"/>
      <c r="I154" s="83">
        <v>139</v>
      </c>
      <c r="J154" s="255" t="str">
        <f>IF(I154&lt;=MAX(Forest_data[Age]),I154,"")</f>
        <v/>
      </c>
      <c r="K154" s="256" t="str">
        <f>IF(ISNUMBER(J154),LOOKUP(J154, Forest_data[[#All],[Age]],Forest_data[[#All],[Number of trees per ha]]),"")</f>
        <v/>
      </c>
      <c r="L154" s="257" t="str">
        <f>IF(ISNUMBER(J154),IF(ISNA(VLOOKUP(J154,Forest_data[#All],3,FALSE)),#N/A, VLOOKUP(J154,Forest_data[#All],3,FALSE)),"")</f>
        <v/>
      </c>
      <c r="M154" s="257" t="str">
        <f>IF(ISNUMBER(J154),IF(ISNA(VLOOKUP(J154,Forest_data[#All],4,FALSE)),#N/A, VLOOKUP(J154,Forest_data[#All],4,FALSE)),"")</f>
        <v/>
      </c>
      <c r="N154" s="257" t="str">
        <f>IF(ISNUMBER(J154),IF(ISNA(VLOOKUP(J154,Forest_data[#All],5,FALSE)),#N/A, VLOOKUP(J154,Forest_data[#All],5,FALSE)),"")</f>
        <v/>
      </c>
      <c r="O154" s="257" t="str">
        <f>IF(ISNUMBER(J154),IF(ISNA(VLOOKUP(J154,Forest_data[#All],6,FALSE)),#N/A, VLOOKUP(J154,Forest_data[#All],6,FALSE)),"")</f>
        <v/>
      </c>
      <c r="P154" s="257" t="str">
        <f t="shared" si="23"/>
        <v/>
      </c>
      <c r="Q154" s="257" t="str">
        <f t="shared" si="16"/>
        <v/>
      </c>
      <c r="R154" s="257" t="str">
        <f t="shared" si="21"/>
        <v/>
      </c>
      <c r="S154" s="283" t="str">
        <f t="shared" si="17"/>
        <v/>
      </c>
      <c r="T154" s="258" t="str">
        <f t="shared" si="18"/>
        <v/>
      </c>
      <c r="U154" s="257" t="str">
        <f t="shared" si="19"/>
        <v/>
      </c>
      <c r="V154" s="257" t="str">
        <f t="shared" si="22"/>
        <v/>
      </c>
      <c r="W154" s="283" t="str">
        <f t="shared" si="20"/>
        <v/>
      </c>
      <c r="X154" s="253"/>
      <c r="Y154" s="253"/>
      <c r="Z154" s="253"/>
      <c r="AA154" s="253"/>
      <c r="AB154" s="253"/>
      <c r="AC154" s="253"/>
      <c r="AD154" s="253"/>
      <c r="AE154" s="253"/>
      <c r="AF154" s="253"/>
      <c r="AG154" s="253"/>
      <c r="AH154" s="253"/>
      <c r="AI154" s="253"/>
      <c r="AJ154" s="253"/>
      <c r="AK154" s="253"/>
      <c r="AL154" s="253"/>
      <c r="AM154" s="253"/>
      <c r="AN154" s="253"/>
      <c r="AO154" s="253"/>
      <c r="AP154" s="253"/>
      <c r="AQ154" s="253"/>
      <c r="AR154" s="253"/>
      <c r="AS154" s="253"/>
      <c r="AT154" s="253"/>
      <c r="AU154" s="253"/>
      <c r="AV154" s="59"/>
    </row>
    <row r="155" spans="2:48" ht="19.5" customHeight="1" x14ac:dyDescent="0.25">
      <c r="B155" s="61"/>
      <c r="C155" s="61"/>
      <c r="D155" s="61"/>
      <c r="E155" s="61"/>
      <c r="F155" s="61"/>
      <c r="I155" s="260">
        <v>140</v>
      </c>
      <c r="J155" s="255" t="str">
        <f>IF(I155&lt;=MAX(Forest_data[Age]),I155,"")</f>
        <v/>
      </c>
      <c r="K155" s="256" t="str">
        <f>IF(ISNUMBER(J155),LOOKUP(J155, Forest_data[[#All],[Age]],Forest_data[[#All],[Number of trees per ha]]),"")</f>
        <v/>
      </c>
      <c r="L155" s="257" t="str">
        <f>IF(ISNUMBER(J155),IF(ISNA(VLOOKUP(J155,Forest_data[#All],3,FALSE)),#N/A, VLOOKUP(J155,Forest_data[#All],3,FALSE)),"")</f>
        <v/>
      </c>
      <c r="M155" s="257" t="str">
        <f>IF(ISNUMBER(J155),IF(ISNA(VLOOKUP(J155,Forest_data[#All],4,FALSE)),#N/A, VLOOKUP(J155,Forest_data[#All],4,FALSE)),"")</f>
        <v/>
      </c>
      <c r="N155" s="257" t="str">
        <f>IF(ISNUMBER(J155),IF(ISNA(VLOOKUP(J155,Forest_data[#All],5,FALSE)),#N/A, VLOOKUP(J155,Forest_data[#All],5,FALSE)),"")</f>
        <v/>
      </c>
      <c r="O155" s="257" t="str">
        <f>IF(ISNUMBER(J155),IF(ISNA(VLOOKUP(J155,Forest_data[#All],6,FALSE)),#N/A, VLOOKUP(J155,Forest_data[#All],6,FALSE)),"")</f>
        <v/>
      </c>
      <c r="P155" s="257" t="str">
        <f t="shared" si="23"/>
        <v/>
      </c>
      <c r="Q155" s="257" t="str">
        <f t="shared" si="16"/>
        <v/>
      </c>
      <c r="R155" s="257" t="str">
        <f t="shared" si="21"/>
        <v/>
      </c>
      <c r="S155" s="283" t="str">
        <f t="shared" si="17"/>
        <v/>
      </c>
      <c r="T155" s="258" t="str">
        <f t="shared" si="18"/>
        <v/>
      </c>
      <c r="U155" s="257" t="str">
        <f t="shared" si="19"/>
        <v/>
      </c>
      <c r="V155" s="257" t="str">
        <f t="shared" si="22"/>
        <v/>
      </c>
      <c r="W155" s="283" t="str">
        <f t="shared" si="20"/>
        <v/>
      </c>
      <c r="X155" s="253"/>
      <c r="Y155" s="253"/>
      <c r="Z155" s="253"/>
      <c r="AA155" s="253"/>
      <c r="AB155" s="253"/>
      <c r="AC155" s="253"/>
      <c r="AD155" s="253"/>
      <c r="AE155" s="253"/>
      <c r="AF155" s="253"/>
      <c r="AG155" s="253"/>
      <c r="AH155" s="253"/>
      <c r="AI155" s="253"/>
      <c r="AJ155" s="253"/>
      <c r="AK155" s="253"/>
      <c r="AL155" s="253"/>
      <c r="AM155" s="253"/>
      <c r="AN155" s="253"/>
      <c r="AO155" s="253"/>
      <c r="AP155" s="253"/>
      <c r="AQ155" s="253"/>
      <c r="AR155" s="253"/>
      <c r="AS155" s="253"/>
      <c r="AT155" s="253"/>
      <c r="AU155" s="253"/>
      <c r="AV155" s="59"/>
    </row>
    <row r="156" spans="2:48" ht="19.5" customHeight="1" x14ac:dyDescent="0.25">
      <c r="B156" s="61"/>
      <c r="C156" s="61"/>
      <c r="D156" s="61"/>
      <c r="E156" s="61"/>
      <c r="F156" s="61"/>
      <c r="I156" s="83">
        <v>141</v>
      </c>
      <c r="J156" s="255" t="str">
        <f>IF(I156&lt;=MAX(Forest_data[Age]),I156,"")</f>
        <v/>
      </c>
      <c r="K156" s="256" t="str">
        <f>IF(ISNUMBER(J156),LOOKUP(J156, Forest_data[[#All],[Age]],Forest_data[[#All],[Number of trees per ha]]),"")</f>
        <v/>
      </c>
      <c r="L156" s="257" t="str">
        <f>IF(ISNUMBER(J156),IF(ISNA(VLOOKUP(J156,Forest_data[#All],3,FALSE)),#N/A, VLOOKUP(J156,Forest_data[#All],3,FALSE)),"")</f>
        <v/>
      </c>
      <c r="M156" s="257" t="str">
        <f>IF(ISNUMBER(J156),IF(ISNA(VLOOKUP(J156,Forest_data[#All],4,FALSE)),#N/A, VLOOKUP(J156,Forest_data[#All],4,FALSE)),"")</f>
        <v/>
      </c>
      <c r="N156" s="257" t="str">
        <f>IF(ISNUMBER(J156),IF(ISNA(VLOOKUP(J156,Forest_data[#All],5,FALSE)),#N/A, VLOOKUP(J156,Forest_data[#All],5,FALSE)),"")</f>
        <v/>
      </c>
      <c r="O156" s="257" t="str">
        <f>IF(ISNUMBER(J156),IF(ISNA(VLOOKUP(J156,Forest_data[#All],6,FALSE)),#N/A, VLOOKUP(J156,Forest_data[#All],6,FALSE)),"")</f>
        <v/>
      </c>
      <c r="P156" s="257" t="str">
        <f t="shared" si="23"/>
        <v/>
      </c>
      <c r="Q156" s="257" t="str">
        <f t="shared" si="16"/>
        <v/>
      </c>
      <c r="R156" s="257" t="str">
        <f t="shared" si="21"/>
        <v/>
      </c>
      <c r="S156" s="283" t="str">
        <f t="shared" si="17"/>
        <v/>
      </c>
      <c r="T156" s="258" t="str">
        <f t="shared" si="18"/>
        <v/>
      </c>
      <c r="U156" s="257" t="str">
        <f t="shared" si="19"/>
        <v/>
      </c>
      <c r="V156" s="257" t="str">
        <f t="shared" si="22"/>
        <v/>
      </c>
      <c r="W156" s="283" t="str">
        <f t="shared" si="20"/>
        <v/>
      </c>
      <c r="X156" s="253"/>
      <c r="Y156" s="253"/>
      <c r="Z156" s="253"/>
      <c r="AA156" s="253"/>
      <c r="AB156" s="253"/>
      <c r="AC156" s="253"/>
      <c r="AD156" s="253"/>
      <c r="AE156" s="253"/>
      <c r="AF156" s="253"/>
      <c r="AG156" s="253"/>
      <c r="AH156" s="253"/>
      <c r="AI156" s="253"/>
      <c r="AJ156" s="253"/>
      <c r="AK156" s="253"/>
      <c r="AL156" s="253"/>
      <c r="AM156" s="253"/>
      <c r="AN156" s="253"/>
      <c r="AO156" s="253"/>
      <c r="AP156" s="253"/>
      <c r="AQ156" s="253"/>
      <c r="AR156" s="253"/>
      <c r="AS156" s="253"/>
      <c r="AT156" s="253"/>
      <c r="AU156" s="253"/>
      <c r="AV156" s="59"/>
    </row>
    <row r="157" spans="2:48" ht="19.5" customHeight="1" x14ac:dyDescent="0.25">
      <c r="B157" s="61"/>
      <c r="C157" s="61"/>
      <c r="D157" s="61"/>
      <c r="E157" s="61"/>
      <c r="F157" s="61"/>
      <c r="I157" s="83">
        <v>142</v>
      </c>
      <c r="J157" s="255" t="str">
        <f>IF(I157&lt;=MAX(Forest_data[Age]),I157,"")</f>
        <v/>
      </c>
      <c r="K157" s="256" t="str">
        <f>IF(ISNUMBER(J157),LOOKUP(J157, Forest_data[[#All],[Age]],Forest_data[[#All],[Number of trees per ha]]),"")</f>
        <v/>
      </c>
      <c r="L157" s="257" t="str">
        <f>IF(ISNUMBER(J157),IF(ISNA(VLOOKUP(J157,Forest_data[#All],3,FALSE)),#N/A, VLOOKUP(J157,Forest_data[#All],3,FALSE)),"")</f>
        <v/>
      </c>
      <c r="M157" s="257" t="str">
        <f>IF(ISNUMBER(J157),IF(ISNA(VLOOKUP(J157,Forest_data[#All],4,FALSE)),#N/A, VLOOKUP(J157,Forest_data[#All],4,FALSE)),"")</f>
        <v/>
      </c>
      <c r="N157" s="257" t="str">
        <f>IF(ISNUMBER(J157),IF(ISNA(VLOOKUP(J157,Forest_data[#All],5,FALSE)),#N/A, VLOOKUP(J157,Forest_data[#All],5,FALSE)),"")</f>
        <v/>
      </c>
      <c r="O157" s="257" t="str">
        <f>IF(ISNUMBER(J157),IF(ISNA(VLOOKUP(J157,Forest_data[#All],6,FALSE)),#N/A, VLOOKUP(J157,Forest_data[#All],6,FALSE)),"")</f>
        <v/>
      </c>
      <c r="P157" s="257" t="str">
        <f t="shared" si="23"/>
        <v/>
      </c>
      <c r="Q157" s="257" t="str">
        <f t="shared" si="16"/>
        <v/>
      </c>
      <c r="R157" s="257" t="str">
        <f t="shared" si="21"/>
        <v/>
      </c>
      <c r="S157" s="283" t="str">
        <f t="shared" si="17"/>
        <v/>
      </c>
      <c r="T157" s="258" t="str">
        <f t="shared" si="18"/>
        <v/>
      </c>
      <c r="U157" s="257" t="str">
        <f t="shared" si="19"/>
        <v/>
      </c>
      <c r="V157" s="257" t="str">
        <f t="shared" si="22"/>
        <v/>
      </c>
      <c r="W157" s="283" t="str">
        <f t="shared" si="20"/>
        <v/>
      </c>
      <c r="X157" s="253"/>
      <c r="Y157" s="253"/>
      <c r="Z157" s="253"/>
      <c r="AA157" s="253"/>
      <c r="AB157" s="253"/>
      <c r="AC157" s="253"/>
      <c r="AD157" s="253"/>
      <c r="AE157" s="253"/>
      <c r="AF157" s="253"/>
      <c r="AG157" s="253"/>
      <c r="AH157" s="253"/>
      <c r="AI157" s="253"/>
      <c r="AJ157" s="253"/>
      <c r="AK157" s="253"/>
      <c r="AL157" s="253"/>
      <c r="AM157" s="253"/>
      <c r="AN157" s="253"/>
      <c r="AO157" s="253"/>
      <c r="AP157" s="253"/>
      <c r="AQ157" s="253"/>
      <c r="AR157" s="253"/>
      <c r="AS157" s="253"/>
      <c r="AT157" s="253"/>
      <c r="AU157" s="253"/>
      <c r="AV157" s="59"/>
    </row>
    <row r="158" spans="2:48" ht="19.5" customHeight="1" x14ac:dyDescent="0.25">
      <c r="B158" s="61"/>
      <c r="C158" s="61"/>
      <c r="D158" s="61"/>
      <c r="E158" s="61"/>
      <c r="F158" s="61"/>
      <c r="I158" s="83">
        <v>143</v>
      </c>
      <c r="J158" s="255" t="str">
        <f>IF(I158&lt;=MAX(Forest_data[Age]),I158,"")</f>
        <v/>
      </c>
      <c r="K158" s="256" t="str">
        <f>IF(ISNUMBER(J158),LOOKUP(J158, Forest_data[[#All],[Age]],Forest_data[[#All],[Number of trees per ha]]),"")</f>
        <v/>
      </c>
      <c r="L158" s="257" t="str">
        <f>IF(ISNUMBER(J158),IF(ISNA(VLOOKUP(J158,Forest_data[#All],3,FALSE)),#N/A, VLOOKUP(J158,Forest_data[#All],3,FALSE)),"")</f>
        <v/>
      </c>
      <c r="M158" s="257" t="str">
        <f>IF(ISNUMBER(J158),IF(ISNA(VLOOKUP(J158,Forest_data[#All],4,FALSE)),#N/A, VLOOKUP(J158,Forest_data[#All],4,FALSE)),"")</f>
        <v/>
      </c>
      <c r="N158" s="257" t="str">
        <f>IF(ISNUMBER(J158),IF(ISNA(VLOOKUP(J158,Forest_data[#All],5,FALSE)),#N/A, VLOOKUP(J158,Forest_data[#All],5,FALSE)),"")</f>
        <v/>
      </c>
      <c r="O158" s="257" t="str">
        <f>IF(ISNUMBER(J158),IF(ISNA(VLOOKUP(J158,Forest_data[#All],6,FALSE)),#N/A, VLOOKUP(J158,Forest_data[#All],6,FALSE)),"")</f>
        <v/>
      </c>
      <c r="P158" s="257" t="str">
        <f t="shared" si="23"/>
        <v/>
      </c>
      <c r="Q158" s="257" t="str">
        <f t="shared" si="16"/>
        <v/>
      </c>
      <c r="R158" s="257" t="str">
        <f t="shared" si="21"/>
        <v/>
      </c>
      <c r="S158" s="283" t="str">
        <f t="shared" si="17"/>
        <v/>
      </c>
      <c r="T158" s="258" t="str">
        <f t="shared" si="18"/>
        <v/>
      </c>
      <c r="U158" s="257" t="str">
        <f t="shared" si="19"/>
        <v/>
      </c>
      <c r="V158" s="257" t="str">
        <f t="shared" si="22"/>
        <v/>
      </c>
      <c r="W158" s="283" t="str">
        <f t="shared" si="20"/>
        <v/>
      </c>
      <c r="X158" s="253"/>
      <c r="Y158" s="253"/>
      <c r="Z158" s="253"/>
      <c r="AA158" s="253"/>
      <c r="AB158" s="253"/>
      <c r="AC158" s="253"/>
      <c r="AD158" s="253"/>
      <c r="AE158" s="253"/>
      <c r="AF158" s="253"/>
      <c r="AG158" s="253"/>
      <c r="AH158" s="253"/>
      <c r="AI158" s="253"/>
      <c r="AJ158" s="253"/>
      <c r="AK158" s="253"/>
      <c r="AL158" s="253"/>
      <c r="AM158" s="253"/>
      <c r="AN158" s="253"/>
      <c r="AO158" s="253"/>
      <c r="AP158" s="253"/>
      <c r="AQ158" s="253"/>
      <c r="AR158" s="253"/>
      <c r="AS158" s="253"/>
      <c r="AT158" s="253"/>
      <c r="AU158" s="253"/>
      <c r="AV158" s="59"/>
    </row>
    <row r="159" spans="2:48" ht="19.5" customHeight="1" x14ac:dyDescent="0.25">
      <c r="B159" s="61"/>
      <c r="C159" s="61"/>
      <c r="D159" s="61"/>
      <c r="E159" s="61"/>
      <c r="F159" s="61"/>
      <c r="I159" s="260">
        <v>144</v>
      </c>
      <c r="J159" s="255" t="str">
        <f>IF(I159&lt;=MAX(Forest_data[Age]),I159,"")</f>
        <v/>
      </c>
      <c r="K159" s="256" t="str">
        <f>IF(ISNUMBER(J159),LOOKUP(J159, Forest_data[[#All],[Age]],Forest_data[[#All],[Number of trees per ha]]),"")</f>
        <v/>
      </c>
      <c r="L159" s="257" t="str">
        <f>IF(ISNUMBER(J159),IF(ISNA(VLOOKUP(J159,Forest_data[#All],3,FALSE)),#N/A, VLOOKUP(J159,Forest_data[#All],3,FALSE)),"")</f>
        <v/>
      </c>
      <c r="M159" s="257" t="str">
        <f>IF(ISNUMBER(J159),IF(ISNA(VLOOKUP(J159,Forest_data[#All],4,FALSE)),#N/A, VLOOKUP(J159,Forest_data[#All],4,FALSE)),"")</f>
        <v/>
      </c>
      <c r="N159" s="257" t="str">
        <f>IF(ISNUMBER(J159),IF(ISNA(VLOOKUP(J159,Forest_data[#All],5,FALSE)),#N/A, VLOOKUP(J159,Forest_data[#All],5,FALSE)),"")</f>
        <v/>
      </c>
      <c r="O159" s="257" t="str">
        <f>IF(ISNUMBER(J159),IF(ISNA(VLOOKUP(J159,Forest_data[#All],6,FALSE)),#N/A, VLOOKUP(J159,Forest_data[#All],6,FALSE)),"")</f>
        <v/>
      </c>
      <c r="P159" s="257" t="str">
        <f t="shared" si="23"/>
        <v/>
      </c>
      <c r="Q159" s="257" t="str">
        <f t="shared" si="16"/>
        <v/>
      </c>
      <c r="R159" s="257" t="str">
        <f t="shared" si="21"/>
        <v/>
      </c>
      <c r="S159" s="283" t="str">
        <f t="shared" si="17"/>
        <v/>
      </c>
      <c r="T159" s="258" t="str">
        <f t="shared" si="18"/>
        <v/>
      </c>
      <c r="U159" s="257" t="str">
        <f t="shared" si="19"/>
        <v/>
      </c>
      <c r="V159" s="257" t="str">
        <f t="shared" si="22"/>
        <v/>
      </c>
      <c r="W159" s="283" t="str">
        <f t="shared" si="20"/>
        <v/>
      </c>
      <c r="X159" s="253"/>
      <c r="Y159" s="253"/>
      <c r="Z159" s="253"/>
      <c r="AA159" s="253"/>
      <c r="AB159" s="253"/>
      <c r="AC159" s="253"/>
      <c r="AD159" s="253"/>
      <c r="AE159" s="253"/>
      <c r="AF159" s="253"/>
      <c r="AG159" s="253"/>
      <c r="AH159" s="253"/>
      <c r="AI159" s="253"/>
      <c r="AJ159" s="253"/>
      <c r="AK159" s="253"/>
      <c r="AL159" s="253"/>
      <c r="AM159" s="253"/>
      <c r="AN159" s="253"/>
      <c r="AO159" s="253"/>
      <c r="AP159" s="253"/>
      <c r="AQ159" s="253"/>
      <c r="AR159" s="253"/>
      <c r="AS159" s="253"/>
      <c r="AT159" s="253"/>
      <c r="AU159" s="253"/>
      <c r="AV159" s="59"/>
    </row>
    <row r="160" spans="2:48" ht="19.5" customHeight="1" x14ac:dyDescent="0.25">
      <c r="B160" s="61"/>
      <c r="C160" s="61"/>
      <c r="D160" s="61"/>
      <c r="E160" s="61"/>
      <c r="F160" s="61"/>
      <c r="I160" s="83">
        <v>145</v>
      </c>
      <c r="J160" s="255" t="str">
        <f>IF(I160&lt;=MAX(Forest_data[Age]),I160,"")</f>
        <v/>
      </c>
      <c r="K160" s="256" t="str">
        <f>IF(ISNUMBER(J160),LOOKUP(J160, Forest_data[[#All],[Age]],Forest_data[[#All],[Number of trees per ha]]),"")</f>
        <v/>
      </c>
      <c r="L160" s="257" t="str">
        <f>IF(ISNUMBER(J160),IF(ISNA(VLOOKUP(J160,Forest_data[#All],3,FALSE)),#N/A, VLOOKUP(J160,Forest_data[#All],3,FALSE)),"")</f>
        <v/>
      </c>
      <c r="M160" s="257" t="str">
        <f>IF(ISNUMBER(J160),IF(ISNA(VLOOKUP(J160,Forest_data[#All],4,FALSE)),#N/A, VLOOKUP(J160,Forest_data[#All],4,FALSE)),"")</f>
        <v/>
      </c>
      <c r="N160" s="257" t="str">
        <f>IF(ISNUMBER(J160),IF(ISNA(VLOOKUP(J160,Forest_data[#All],5,FALSE)),#N/A, VLOOKUP(J160,Forest_data[#All],5,FALSE)),"")</f>
        <v/>
      </c>
      <c r="O160" s="257" t="str">
        <f>IF(ISNUMBER(J160),IF(ISNA(VLOOKUP(J160,Forest_data[#All],6,FALSE)),#N/A, VLOOKUP(J160,Forest_data[#All],6,FALSE)),"")</f>
        <v/>
      </c>
      <c r="P160" s="257" t="str">
        <f t="shared" si="23"/>
        <v/>
      </c>
      <c r="Q160" s="257" t="str">
        <f t="shared" si="16"/>
        <v/>
      </c>
      <c r="R160" s="257" t="str">
        <f t="shared" si="21"/>
        <v/>
      </c>
      <c r="S160" s="283" t="str">
        <f t="shared" si="17"/>
        <v/>
      </c>
      <c r="T160" s="258" t="str">
        <f t="shared" si="18"/>
        <v/>
      </c>
      <c r="U160" s="257" t="str">
        <f t="shared" si="19"/>
        <v/>
      </c>
      <c r="V160" s="257" t="str">
        <f t="shared" si="22"/>
        <v/>
      </c>
      <c r="W160" s="283" t="str">
        <f t="shared" si="20"/>
        <v/>
      </c>
      <c r="X160" s="253"/>
      <c r="Y160" s="253"/>
      <c r="Z160" s="253"/>
      <c r="AA160" s="253"/>
      <c r="AB160" s="253"/>
      <c r="AC160" s="253"/>
      <c r="AD160" s="253"/>
      <c r="AE160" s="253"/>
      <c r="AF160" s="253"/>
      <c r="AG160" s="253"/>
      <c r="AH160" s="253"/>
      <c r="AI160" s="253"/>
      <c r="AJ160" s="253"/>
      <c r="AK160" s="253"/>
      <c r="AL160" s="253"/>
      <c r="AM160" s="253"/>
      <c r="AN160" s="253"/>
      <c r="AO160" s="253"/>
      <c r="AP160" s="253"/>
      <c r="AQ160" s="253"/>
      <c r="AR160" s="253"/>
      <c r="AS160" s="253"/>
      <c r="AT160" s="253"/>
      <c r="AU160" s="253"/>
      <c r="AV160" s="59"/>
    </row>
    <row r="161" spans="2:48" ht="19.5" customHeight="1" x14ac:dyDescent="0.25">
      <c r="B161" s="61"/>
      <c r="C161" s="61"/>
      <c r="D161" s="61"/>
      <c r="E161" s="61"/>
      <c r="F161" s="61"/>
      <c r="I161" s="83">
        <v>146</v>
      </c>
      <c r="J161" s="255" t="str">
        <f>IF(I161&lt;=MAX(Forest_data[Age]),I161,"")</f>
        <v/>
      </c>
      <c r="K161" s="256" t="str">
        <f>IF(ISNUMBER(J161),LOOKUP(J161, Forest_data[[#All],[Age]],Forest_data[[#All],[Number of trees per ha]]),"")</f>
        <v/>
      </c>
      <c r="L161" s="257" t="str">
        <f>IF(ISNUMBER(J161),IF(ISNA(VLOOKUP(J161,Forest_data[#All],3,FALSE)),#N/A, VLOOKUP(J161,Forest_data[#All],3,FALSE)),"")</f>
        <v/>
      </c>
      <c r="M161" s="257" t="str">
        <f>IF(ISNUMBER(J161),IF(ISNA(VLOOKUP(J161,Forest_data[#All],4,FALSE)),#N/A, VLOOKUP(J161,Forest_data[#All],4,FALSE)),"")</f>
        <v/>
      </c>
      <c r="N161" s="257" t="str">
        <f>IF(ISNUMBER(J161),IF(ISNA(VLOOKUP(J161,Forest_data[#All],5,FALSE)),#N/A, VLOOKUP(J161,Forest_data[#All],5,FALSE)),"")</f>
        <v/>
      </c>
      <c r="O161" s="257" t="str">
        <f>IF(ISNUMBER(J161),IF(ISNA(VLOOKUP(J161,Forest_data[#All],6,FALSE)),#N/A, VLOOKUP(J161,Forest_data[#All],6,FALSE)),"")</f>
        <v/>
      </c>
      <c r="P161" s="257" t="str">
        <f t="shared" si="23"/>
        <v/>
      </c>
      <c r="Q161" s="257" t="str">
        <f t="shared" si="16"/>
        <v/>
      </c>
      <c r="R161" s="257" t="str">
        <f t="shared" si="21"/>
        <v/>
      </c>
      <c r="S161" s="283" t="str">
        <f t="shared" si="17"/>
        <v/>
      </c>
      <c r="T161" s="258" t="str">
        <f t="shared" si="18"/>
        <v/>
      </c>
      <c r="U161" s="257" t="str">
        <f t="shared" si="19"/>
        <v/>
      </c>
      <c r="V161" s="257" t="str">
        <f t="shared" si="22"/>
        <v/>
      </c>
      <c r="W161" s="283" t="str">
        <f t="shared" si="20"/>
        <v/>
      </c>
      <c r="X161" s="253"/>
      <c r="Y161" s="253"/>
      <c r="Z161" s="253"/>
      <c r="AA161" s="253"/>
      <c r="AB161" s="253"/>
      <c r="AC161" s="253"/>
      <c r="AD161" s="253"/>
      <c r="AE161" s="253"/>
      <c r="AF161" s="253"/>
      <c r="AG161" s="253"/>
      <c r="AH161" s="253"/>
      <c r="AI161" s="253"/>
      <c r="AJ161" s="253"/>
      <c r="AK161" s="253"/>
      <c r="AL161" s="253"/>
      <c r="AM161" s="253"/>
      <c r="AN161" s="253"/>
      <c r="AO161" s="253"/>
      <c r="AP161" s="253"/>
      <c r="AQ161" s="253"/>
      <c r="AR161" s="253"/>
      <c r="AS161" s="253"/>
      <c r="AT161" s="253"/>
      <c r="AU161" s="253"/>
      <c r="AV161" s="59"/>
    </row>
    <row r="162" spans="2:48" ht="19.5" customHeight="1" x14ac:dyDescent="0.25">
      <c r="B162" s="61"/>
      <c r="C162" s="61"/>
      <c r="D162" s="61"/>
      <c r="E162" s="61"/>
      <c r="F162" s="61"/>
      <c r="I162" s="83">
        <v>147</v>
      </c>
      <c r="J162" s="255" t="str">
        <f>IF(I162&lt;=MAX(Forest_data[Age]),I162,"")</f>
        <v/>
      </c>
      <c r="K162" s="256" t="str">
        <f>IF(ISNUMBER(J162),LOOKUP(J162, Forest_data[[#All],[Age]],Forest_data[[#All],[Number of trees per ha]]),"")</f>
        <v/>
      </c>
      <c r="L162" s="257" t="str">
        <f>IF(ISNUMBER(J162),IF(ISNA(VLOOKUP(J162,Forest_data[#All],3,FALSE)),#N/A, VLOOKUP(J162,Forest_data[#All],3,FALSE)),"")</f>
        <v/>
      </c>
      <c r="M162" s="257" t="str">
        <f>IF(ISNUMBER(J162),IF(ISNA(VLOOKUP(J162,Forest_data[#All],4,FALSE)),#N/A, VLOOKUP(J162,Forest_data[#All],4,FALSE)),"")</f>
        <v/>
      </c>
      <c r="N162" s="257" t="str">
        <f>IF(ISNUMBER(J162),IF(ISNA(VLOOKUP(J162,Forest_data[#All],5,FALSE)),#N/A, VLOOKUP(J162,Forest_data[#All],5,FALSE)),"")</f>
        <v/>
      </c>
      <c r="O162" s="257" t="str">
        <f>IF(ISNUMBER(J162),IF(ISNA(VLOOKUP(J162,Forest_data[#All],6,FALSE)),#N/A, VLOOKUP(J162,Forest_data[#All],6,FALSE)),"")</f>
        <v/>
      </c>
      <c r="P162" s="257" t="str">
        <f t="shared" si="23"/>
        <v/>
      </c>
      <c r="Q162" s="257" t="str">
        <f t="shared" si="16"/>
        <v/>
      </c>
      <c r="R162" s="257" t="str">
        <f t="shared" si="21"/>
        <v/>
      </c>
      <c r="S162" s="283" t="str">
        <f t="shared" si="17"/>
        <v/>
      </c>
      <c r="T162" s="258" t="str">
        <f t="shared" si="18"/>
        <v/>
      </c>
      <c r="U162" s="257" t="str">
        <f t="shared" si="19"/>
        <v/>
      </c>
      <c r="V162" s="257" t="str">
        <f t="shared" si="22"/>
        <v/>
      </c>
      <c r="W162" s="283" t="str">
        <f t="shared" si="20"/>
        <v/>
      </c>
      <c r="X162" s="253"/>
      <c r="Y162" s="253"/>
      <c r="Z162" s="253"/>
      <c r="AA162" s="253"/>
      <c r="AB162" s="253"/>
      <c r="AC162" s="253"/>
      <c r="AD162" s="253"/>
      <c r="AE162" s="253"/>
      <c r="AF162" s="253"/>
      <c r="AG162" s="253"/>
      <c r="AH162" s="253"/>
      <c r="AI162" s="253"/>
      <c r="AJ162" s="253"/>
      <c r="AK162" s="253"/>
      <c r="AL162" s="253"/>
      <c r="AM162" s="253"/>
      <c r="AN162" s="253"/>
      <c r="AO162" s="253"/>
      <c r="AP162" s="253"/>
      <c r="AQ162" s="253"/>
      <c r="AR162" s="253"/>
      <c r="AS162" s="253"/>
      <c r="AT162" s="253"/>
      <c r="AU162" s="253"/>
      <c r="AV162" s="59"/>
    </row>
    <row r="163" spans="2:48" ht="19.5" customHeight="1" x14ac:dyDescent="0.25">
      <c r="B163" s="61"/>
      <c r="C163" s="61"/>
      <c r="D163" s="61"/>
      <c r="E163" s="61"/>
      <c r="F163" s="61"/>
      <c r="I163" s="260">
        <v>148</v>
      </c>
      <c r="J163" s="255" t="str">
        <f>IF(I163&lt;=MAX(Forest_data[Age]),I163,"")</f>
        <v/>
      </c>
      <c r="K163" s="256" t="str">
        <f>IF(ISNUMBER(J163),LOOKUP(J163, Forest_data[[#All],[Age]],Forest_data[[#All],[Number of trees per ha]]),"")</f>
        <v/>
      </c>
      <c r="L163" s="257" t="str">
        <f>IF(ISNUMBER(J163),IF(ISNA(VLOOKUP(J163,Forest_data[#All],3,FALSE)),#N/A, VLOOKUP(J163,Forest_data[#All],3,FALSE)),"")</f>
        <v/>
      </c>
      <c r="M163" s="257" t="str">
        <f>IF(ISNUMBER(J163),IF(ISNA(VLOOKUP(J163,Forest_data[#All],4,FALSE)),#N/A, VLOOKUP(J163,Forest_data[#All],4,FALSE)),"")</f>
        <v/>
      </c>
      <c r="N163" s="257" t="str">
        <f>IF(ISNUMBER(J163),IF(ISNA(VLOOKUP(J163,Forest_data[#All],5,FALSE)),#N/A, VLOOKUP(J163,Forest_data[#All],5,FALSE)),"")</f>
        <v/>
      </c>
      <c r="O163" s="257" t="str">
        <f>IF(ISNUMBER(J163),IF(ISNA(VLOOKUP(J163,Forest_data[#All],6,FALSE)),#N/A, VLOOKUP(J163,Forest_data[#All],6,FALSE)),"")</f>
        <v/>
      </c>
      <c r="P163" s="257" t="str">
        <f t="shared" si="23"/>
        <v/>
      </c>
      <c r="Q163" s="257" t="str">
        <f t="shared" si="16"/>
        <v/>
      </c>
      <c r="R163" s="257" t="str">
        <f t="shared" si="21"/>
        <v/>
      </c>
      <c r="S163" s="283" t="str">
        <f t="shared" si="17"/>
        <v/>
      </c>
      <c r="T163" s="258" t="str">
        <f t="shared" si="18"/>
        <v/>
      </c>
      <c r="U163" s="257" t="str">
        <f t="shared" si="19"/>
        <v/>
      </c>
      <c r="V163" s="257" t="str">
        <f t="shared" si="22"/>
        <v/>
      </c>
      <c r="W163" s="283" t="str">
        <f t="shared" si="20"/>
        <v/>
      </c>
      <c r="X163" s="253"/>
      <c r="Y163" s="253"/>
      <c r="Z163" s="253"/>
      <c r="AA163" s="253"/>
      <c r="AB163" s="253"/>
      <c r="AC163" s="253"/>
      <c r="AD163" s="253"/>
      <c r="AE163" s="253"/>
      <c r="AF163" s="253"/>
      <c r="AG163" s="253"/>
      <c r="AH163" s="253"/>
      <c r="AI163" s="253"/>
      <c r="AJ163" s="253"/>
      <c r="AK163" s="253"/>
      <c r="AL163" s="253"/>
      <c r="AM163" s="253"/>
      <c r="AN163" s="253"/>
      <c r="AO163" s="253"/>
      <c r="AP163" s="253"/>
      <c r="AQ163" s="253"/>
      <c r="AR163" s="253"/>
      <c r="AS163" s="253"/>
      <c r="AT163" s="253"/>
      <c r="AU163" s="253"/>
      <c r="AV163" s="59"/>
    </row>
    <row r="164" spans="2:48" ht="19.5" customHeight="1" x14ac:dyDescent="0.25">
      <c r="B164" s="61"/>
      <c r="C164" s="61"/>
      <c r="D164" s="61"/>
      <c r="E164" s="61"/>
      <c r="F164" s="61"/>
      <c r="I164" s="83">
        <v>149</v>
      </c>
      <c r="J164" s="255" t="str">
        <f>IF(I164&lt;=MAX(Forest_data[Age]),I164,"")</f>
        <v/>
      </c>
      <c r="K164" s="256" t="str">
        <f>IF(ISNUMBER(J164),LOOKUP(J164, Forest_data[[#All],[Age]],Forest_data[[#All],[Number of trees per ha]]),"")</f>
        <v/>
      </c>
      <c r="L164" s="257" t="str">
        <f>IF(ISNUMBER(J164),IF(ISNA(VLOOKUP(J164,Forest_data[#All],3,FALSE)),#N/A, VLOOKUP(J164,Forest_data[#All],3,FALSE)),"")</f>
        <v/>
      </c>
      <c r="M164" s="257" t="str">
        <f>IF(ISNUMBER(J164),IF(ISNA(VLOOKUP(J164,Forest_data[#All],4,FALSE)),#N/A, VLOOKUP(J164,Forest_data[#All],4,FALSE)),"")</f>
        <v/>
      </c>
      <c r="N164" s="257" t="str">
        <f>IF(ISNUMBER(J164),IF(ISNA(VLOOKUP(J164,Forest_data[#All],5,FALSE)),#N/A, VLOOKUP(J164,Forest_data[#All],5,FALSE)),"")</f>
        <v/>
      </c>
      <c r="O164" s="257" t="str">
        <f>IF(ISNUMBER(J164),IF(ISNA(VLOOKUP(J164,Forest_data[#All],6,FALSE)),#N/A, VLOOKUP(J164,Forest_data[#All],6,FALSE)),"")</f>
        <v/>
      </c>
      <c r="P164" s="257" t="str">
        <f t="shared" si="23"/>
        <v/>
      </c>
      <c r="Q164" s="257" t="str">
        <f t="shared" si="16"/>
        <v/>
      </c>
      <c r="R164" s="257" t="str">
        <f t="shared" si="21"/>
        <v/>
      </c>
      <c r="S164" s="283" t="str">
        <f t="shared" si="17"/>
        <v/>
      </c>
      <c r="T164" s="258" t="str">
        <f t="shared" si="18"/>
        <v/>
      </c>
      <c r="U164" s="257" t="str">
        <f t="shared" si="19"/>
        <v/>
      </c>
      <c r="V164" s="257" t="str">
        <f t="shared" si="22"/>
        <v/>
      </c>
      <c r="W164" s="283" t="str">
        <f t="shared" si="20"/>
        <v/>
      </c>
      <c r="X164" s="253"/>
      <c r="Y164" s="253"/>
      <c r="Z164" s="253"/>
      <c r="AA164" s="253"/>
      <c r="AB164" s="253"/>
      <c r="AC164" s="253"/>
      <c r="AD164" s="253"/>
      <c r="AE164" s="253"/>
      <c r="AF164" s="253"/>
      <c r="AG164" s="253"/>
      <c r="AH164" s="253"/>
      <c r="AI164" s="253"/>
      <c r="AJ164" s="253"/>
      <c r="AK164" s="253"/>
      <c r="AL164" s="253"/>
      <c r="AM164" s="253"/>
      <c r="AN164" s="253"/>
      <c r="AO164" s="253"/>
      <c r="AP164" s="253"/>
      <c r="AQ164" s="253"/>
      <c r="AR164" s="253"/>
      <c r="AS164" s="253"/>
      <c r="AT164" s="253"/>
      <c r="AU164" s="253"/>
      <c r="AV164" s="59"/>
    </row>
    <row r="165" spans="2:48" ht="19.5" customHeight="1" x14ac:dyDescent="0.25">
      <c r="B165" s="61"/>
      <c r="C165" s="61"/>
      <c r="D165" s="61"/>
      <c r="E165" s="61"/>
      <c r="F165" s="61"/>
      <c r="I165" s="83">
        <v>150</v>
      </c>
      <c r="J165" s="255" t="str">
        <f>IF(I165&lt;=MAX(Forest_data[Age]),I165,"")</f>
        <v/>
      </c>
      <c r="K165" s="256" t="str">
        <f>IF(ISNUMBER(J165),LOOKUP(J165, Forest_data[[#All],[Age]],Forest_data[[#All],[Number of trees per ha]]),"")</f>
        <v/>
      </c>
      <c r="L165" s="257" t="str">
        <f>IF(ISNUMBER(J165),IF(ISNA(VLOOKUP(J165,Forest_data[#All],3,FALSE)),#N/A, VLOOKUP(J165,Forest_data[#All],3,FALSE)),"")</f>
        <v/>
      </c>
      <c r="M165" s="257" t="str">
        <f>IF(ISNUMBER(J165),IF(ISNA(VLOOKUP(J165,Forest_data[#All],4,FALSE)),#N/A, VLOOKUP(J165,Forest_data[#All],4,FALSE)),"")</f>
        <v/>
      </c>
      <c r="N165" s="257" t="str">
        <f>IF(ISNUMBER(J165),IF(ISNA(VLOOKUP(J165,Forest_data[#All],5,FALSE)),#N/A, VLOOKUP(J165,Forest_data[#All],5,FALSE)),"")</f>
        <v/>
      </c>
      <c r="O165" s="257" t="str">
        <f>IF(ISNUMBER(J165),IF(ISNA(VLOOKUP(J165,Forest_data[#All],6,FALSE)),#N/A, VLOOKUP(J165,Forest_data[#All],6,FALSE)),"")</f>
        <v/>
      </c>
      <c r="P165" s="257" t="str">
        <f t="shared" si="23"/>
        <v/>
      </c>
      <c r="Q165" s="257" t="str">
        <f t="shared" si="16"/>
        <v/>
      </c>
      <c r="R165" s="257" t="str">
        <f t="shared" si="21"/>
        <v/>
      </c>
      <c r="S165" s="283" t="str">
        <f t="shared" si="17"/>
        <v/>
      </c>
      <c r="T165" s="258" t="str">
        <f t="shared" si="18"/>
        <v/>
      </c>
      <c r="U165" s="257" t="str">
        <f t="shared" si="19"/>
        <v/>
      </c>
      <c r="V165" s="257" t="str">
        <f t="shared" si="22"/>
        <v/>
      </c>
      <c r="W165" s="283" t="str">
        <f t="shared" si="20"/>
        <v/>
      </c>
      <c r="X165" s="253"/>
      <c r="Y165" s="253"/>
      <c r="Z165" s="253"/>
      <c r="AA165" s="253"/>
      <c r="AB165" s="253"/>
      <c r="AC165" s="253"/>
      <c r="AD165" s="253"/>
      <c r="AE165" s="253"/>
      <c r="AF165" s="253"/>
      <c r="AG165" s="253"/>
      <c r="AH165" s="253"/>
      <c r="AI165" s="253"/>
      <c r="AJ165" s="253"/>
      <c r="AK165" s="253"/>
      <c r="AL165" s="253"/>
      <c r="AM165" s="253"/>
      <c r="AN165" s="253"/>
      <c r="AO165" s="253"/>
      <c r="AP165" s="253"/>
      <c r="AQ165" s="253"/>
      <c r="AR165" s="253"/>
      <c r="AS165" s="253"/>
      <c r="AT165" s="253"/>
      <c r="AU165" s="253"/>
      <c r="AV165" s="59"/>
    </row>
    <row r="166" spans="2:48" ht="19.5" customHeight="1" x14ac:dyDescent="0.25">
      <c r="B166" s="61"/>
      <c r="C166" s="61"/>
      <c r="D166" s="61"/>
      <c r="E166" s="61"/>
      <c r="F166" s="61"/>
      <c r="I166" s="83">
        <v>151</v>
      </c>
      <c r="J166" s="255" t="str">
        <f>IF(I166&lt;=MAX(Forest_data[Age]),I166,"")</f>
        <v/>
      </c>
      <c r="K166" s="256" t="str">
        <f>IF(ISNUMBER(J166),LOOKUP(J166, Forest_data[[#All],[Age]],Forest_data[[#All],[Number of trees per ha]]),"")</f>
        <v/>
      </c>
      <c r="L166" s="257" t="str">
        <f>IF(ISNUMBER(J166),IF(ISNA(VLOOKUP(J166,Forest_data[#All],3,FALSE)),#N/A, VLOOKUP(J166,Forest_data[#All],3,FALSE)),"")</f>
        <v/>
      </c>
      <c r="M166" s="257" t="str">
        <f>IF(ISNUMBER(J166),IF(ISNA(VLOOKUP(J166,Forest_data[#All],4,FALSE)),#N/A, VLOOKUP(J166,Forest_data[#All],4,FALSE)),"")</f>
        <v/>
      </c>
      <c r="N166" s="257" t="str">
        <f>IF(ISNUMBER(J166),IF(ISNA(VLOOKUP(J166,Forest_data[#All],5,FALSE)),#N/A, VLOOKUP(J166,Forest_data[#All],5,FALSE)),"")</f>
        <v/>
      </c>
      <c r="O166" s="257" t="str">
        <f>IF(ISNUMBER(J166),IF(ISNA(VLOOKUP(J166,Forest_data[#All],6,FALSE)),#N/A, VLOOKUP(J166,Forest_data[#All],6,FALSE)),"")</f>
        <v/>
      </c>
      <c r="P166" s="257" t="str">
        <f t="shared" si="23"/>
        <v/>
      </c>
      <c r="Q166" s="257" t="str">
        <f t="shared" si="16"/>
        <v/>
      </c>
      <c r="R166" s="257" t="str">
        <f t="shared" si="21"/>
        <v/>
      </c>
      <c r="S166" s="283" t="str">
        <f t="shared" si="17"/>
        <v/>
      </c>
      <c r="T166" s="258" t="str">
        <f t="shared" si="18"/>
        <v/>
      </c>
      <c r="U166" s="257" t="str">
        <f t="shared" si="19"/>
        <v/>
      </c>
      <c r="V166" s="257" t="str">
        <f t="shared" si="22"/>
        <v/>
      </c>
      <c r="W166" s="283" t="str">
        <f t="shared" si="20"/>
        <v/>
      </c>
      <c r="X166" s="253"/>
      <c r="Y166" s="253"/>
      <c r="Z166" s="253"/>
      <c r="AA166" s="253"/>
      <c r="AB166" s="253"/>
      <c r="AC166" s="253"/>
      <c r="AD166" s="253"/>
      <c r="AE166" s="253"/>
      <c r="AF166" s="253"/>
      <c r="AG166" s="253"/>
      <c r="AH166" s="253"/>
      <c r="AI166" s="253"/>
      <c r="AJ166" s="253"/>
      <c r="AK166" s="253"/>
      <c r="AL166" s="253"/>
      <c r="AM166" s="253"/>
      <c r="AN166" s="253"/>
      <c r="AO166" s="253"/>
      <c r="AP166" s="253"/>
      <c r="AQ166" s="253"/>
      <c r="AR166" s="253"/>
      <c r="AS166" s="253"/>
      <c r="AT166" s="253"/>
      <c r="AU166" s="253"/>
      <c r="AV166" s="59"/>
    </row>
    <row r="167" spans="2:48" ht="19.5" customHeight="1" x14ac:dyDescent="0.25">
      <c r="B167" s="61"/>
      <c r="C167" s="61"/>
      <c r="D167" s="61"/>
      <c r="E167" s="61"/>
      <c r="F167" s="61"/>
      <c r="I167" s="260">
        <v>152</v>
      </c>
      <c r="J167" s="255" t="str">
        <f>IF(I167&lt;=MAX(Forest_data[Age]),I167,"")</f>
        <v/>
      </c>
      <c r="K167" s="256" t="str">
        <f>IF(ISNUMBER(J167),LOOKUP(J167, Forest_data[[#All],[Age]],Forest_data[[#All],[Number of trees per ha]]),"")</f>
        <v/>
      </c>
      <c r="L167" s="257" t="str">
        <f>IF(ISNUMBER(J167),IF(ISNA(VLOOKUP(J167,Forest_data[#All],3,FALSE)),#N/A, VLOOKUP(J167,Forest_data[#All],3,FALSE)),"")</f>
        <v/>
      </c>
      <c r="M167" s="257" t="str">
        <f>IF(ISNUMBER(J167),IF(ISNA(VLOOKUP(J167,Forest_data[#All],4,FALSE)),#N/A, VLOOKUP(J167,Forest_data[#All],4,FALSE)),"")</f>
        <v/>
      </c>
      <c r="N167" s="257" t="str">
        <f>IF(ISNUMBER(J167),IF(ISNA(VLOOKUP(J167,Forest_data[#All],5,FALSE)),#N/A, VLOOKUP(J167,Forest_data[#All],5,FALSE)),"")</f>
        <v/>
      </c>
      <c r="O167" s="257" t="str">
        <f>IF(ISNUMBER(J167),IF(ISNA(VLOOKUP(J167,Forest_data[#All],6,FALSE)),#N/A, VLOOKUP(J167,Forest_data[#All],6,FALSE)),"")</f>
        <v/>
      </c>
      <c r="P167" s="257" t="str">
        <f t="shared" si="23"/>
        <v/>
      </c>
      <c r="Q167" s="257" t="str">
        <f t="shared" si="16"/>
        <v/>
      </c>
      <c r="R167" s="257" t="str">
        <f t="shared" si="21"/>
        <v/>
      </c>
      <c r="S167" s="283" t="str">
        <f t="shared" si="17"/>
        <v/>
      </c>
      <c r="T167" s="258" t="str">
        <f t="shared" si="18"/>
        <v/>
      </c>
      <c r="U167" s="257" t="str">
        <f t="shared" si="19"/>
        <v/>
      </c>
      <c r="V167" s="257" t="str">
        <f t="shared" si="22"/>
        <v/>
      </c>
      <c r="W167" s="283" t="str">
        <f t="shared" si="20"/>
        <v/>
      </c>
      <c r="X167" s="253"/>
      <c r="Y167" s="253"/>
      <c r="Z167" s="253"/>
      <c r="AA167" s="253"/>
      <c r="AB167" s="253"/>
      <c r="AC167" s="253"/>
      <c r="AD167" s="253"/>
      <c r="AE167" s="253"/>
      <c r="AF167" s="253"/>
      <c r="AG167" s="253"/>
      <c r="AH167" s="253"/>
      <c r="AI167" s="253"/>
      <c r="AJ167" s="253"/>
      <c r="AK167" s="253"/>
      <c r="AL167" s="253"/>
      <c r="AM167" s="253"/>
      <c r="AN167" s="253"/>
      <c r="AO167" s="253"/>
      <c r="AP167" s="253"/>
      <c r="AQ167" s="253"/>
      <c r="AR167" s="253"/>
      <c r="AS167" s="253"/>
      <c r="AT167" s="253"/>
      <c r="AU167" s="253"/>
    </row>
    <row r="168" spans="2:48" ht="19.5" customHeight="1" x14ac:dyDescent="0.25">
      <c r="B168" s="61"/>
      <c r="C168" s="61"/>
      <c r="D168" s="61"/>
      <c r="E168" s="61"/>
      <c r="F168" s="61"/>
      <c r="I168" s="83">
        <v>153</v>
      </c>
      <c r="J168" s="255" t="str">
        <f>IF(I168&lt;=MAX(Forest_data[Age]),I168,"")</f>
        <v/>
      </c>
      <c r="K168" s="256" t="str">
        <f>IF(ISNUMBER(J168),LOOKUP(J168, Forest_data[[#All],[Age]],Forest_data[[#All],[Number of trees per ha]]),"")</f>
        <v/>
      </c>
      <c r="L168" s="257" t="str">
        <f>IF(ISNUMBER(J168),IF(ISNA(VLOOKUP(J168,Forest_data[#All],3,FALSE)),#N/A, VLOOKUP(J168,Forest_data[#All],3,FALSE)),"")</f>
        <v/>
      </c>
      <c r="M168" s="257" t="str">
        <f>IF(ISNUMBER(J168),IF(ISNA(VLOOKUP(J168,Forest_data[#All],4,FALSE)),#N/A, VLOOKUP(J168,Forest_data[#All],4,FALSE)),"")</f>
        <v/>
      </c>
      <c r="N168" s="257" t="str">
        <f>IF(ISNUMBER(J168),IF(ISNA(VLOOKUP(J168,Forest_data[#All],5,FALSE)),#N/A, VLOOKUP(J168,Forest_data[#All],5,FALSE)),"")</f>
        <v/>
      </c>
      <c r="O168" s="257" t="str">
        <f>IF(ISNUMBER(J168),IF(ISNA(VLOOKUP(J168,Forest_data[#All],6,FALSE)),#N/A, VLOOKUP(J168,Forest_data[#All],6,FALSE)),"")</f>
        <v/>
      </c>
      <c r="P168" s="257" t="str">
        <f t="shared" si="23"/>
        <v/>
      </c>
      <c r="Q168" s="257" t="str">
        <f t="shared" si="16"/>
        <v/>
      </c>
      <c r="R168" s="257" t="str">
        <f t="shared" si="21"/>
        <v/>
      </c>
      <c r="S168" s="283" t="str">
        <f t="shared" si="17"/>
        <v/>
      </c>
      <c r="T168" s="258" t="str">
        <f t="shared" si="18"/>
        <v/>
      </c>
      <c r="U168" s="257" t="str">
        <f t="shared" si="19"/>
        <v/>
      </c>
      <c r="V168" s="257" t="str">
        <f t="shared" si="22"/>
        <v/>
      </c>
      <c r="W168" s="283" t="str">
        <f t="shared" si="20"/>
        <v/>
      </c>
      <c r="X168" s="253"/>
      <c r="Y168" s="253"/>
      <c r="Z168" s="253"/>
      <c r="AA168" s="253"/>
      <c r="AB168" s="253"/>
      <c r="AC168" s="253"/>
      <c r="AD168" s="253"/>
      <c r="AE168" s="253"/>
      <c r="AF168" s="253"/>
      <c r="AG168" s="253"/>
      <c r="AH168" s="253"/>
      <c r="AI168" s="253"/>
      <c r="AJ168" s="253"/>
      <c r="AK168" s="253"/>
      <c r="AL168" s="253"/>
      <c r="AM168" s="253"/>
      <c r="AN168" s="253"/>
      <c r="AO168" s="253"/>
      <c r="AP168" s="253"/>
      <c r="AQ168" s="253"/>
      <c r="AR168" s="253"/>
      <c r="AS168" s="253"/>
      <c r="AT168" s="253"/>
      <c r="AU168" s="253"/>
    </row>
    <row r="169" spans="2:48" ht="19.5" customHeight="1" x14ac:dyDescent="0.25">
      <c r="B169" s="61"/>
      <c r="C169" s="61"/>
      <c r="D169" s="61"/>
      <c r="E169" s="61"/>
      <c r="F169" s="61"/>
      <c r="I169" s="83">
        <v>154</v>
      </c>
      <c r="J169" s="255" t="str">
        <f>IF(I169&lt;=MAX(Forest_data[Age]),I169,"")</f>
        <v/>
      </c>
      <c r="K169" s="256" t="str">
        <f>IF(ISNUMBER(J169),LOOKUP(J169, Forest_data[[#All],[Age]],Forest_data[[#All],[Number of trees per ha]]),"")</f>
        <v/>
      </c>
      <c r="L169" s="257" t="str">
        <f>IF(ISNUMBER(J169),IF(ISNA(VLOOKUP(J169,Forest_data[#All],3,FALSE)),#N/A, VLOOKUP(J169,Forest_data[#All],3,FALSE)),"")</f>
        <v/>
      </c>
      <c r="M169" s="257" t="str">
        <f>IF(ISNUMBER(J169),IF(ISNA(VLOOKUP(J169,Forest_data[#All],4,FALSE)),#N/A, VLOOKUP(J169,Forest_data[#All],4,FALSE)),"")</f>
        <v/>
      </c>
      <c r="N169" s="257" t="str">
        <f>IF(ISNUMBER(J169),IF(ISNA(VLOOKUP(J169,Forest_data[#All],5,FALSE)),#N/A, VLOOKUP(J169,Forest_data[#All],5,FALSE)),"")</f>
        <v/>
      </c>
      <c r="O169" s="257" t="str">
        <f>IF(ISNUMBER(J169),IF(ISNA(VLOOKUP(J169,Forest_data[#All],6,FALSE)),#N/A, VLOOKUP(J169,Forest_data[#All],6,FALSE)),"")</f>
        <v/>
      </c>
      <c r="P169" s="257" t="str">
        <f t="shared" si="23"/>
        <v/>
      </c>
      <c r="Q169" s="257" t="str">
        <f t="shared" si="16"/>
        <v/>
      </c>
      <c r="R169" s="257" t="str">
        <f t="shared" si="21"/>
        <v/>
      </c>
      <c r="S169" s="283" t="str">
        <f t="shared" si="17"/>
        <v/>
      </c>
      <c r="T169" s="258" t="str">
        <f t="shared" si="18"/>
        <v/>
      </c>
      <c r="U169" s="257" t="str">
        <f t="shared" si="19"/>
        <v/>
      </c>
      <c r="V169" s="257" t="str">
        <f t="shared" si="22"/>
        <v/>
      </c>
      <c r="W169" s="283" t="str">
        <f t="shared" si="20"/>
        <v/>
      </c>
      <c r="X169" s="253"/>
      <c r="Y169" s="253"/>
      <c r="Z169" s="253"/>
      <c r="AA169" s="253"/>
      <c r="AB169" s="253"/>
      <c r="AC169" s="253"/>
      <c r="AD169" s="253"/>
      <c r="AE169" s="253"/>
      <c r="AF169" s="253"/>
      <c r="AG169" s="253"/>
      <c r="AH169" s="253"/>
      <c r="AI169" s="253"/>
      <c r="AJ169" s="253"/>
      <c r="AK169" s="253"/>
      <c r="AL169" s="253"/>
      <c r="AM169" s="253"/>
      <c r="AN169" s="253"/>
      <c r="AO169" s="253"/>
      <c r="AP169" s="253"/>
      <c r="AQ169" s="253"/>
      <c r="AR169" s="253"/>
      <c r="AS169" s="253"/>
      <c r="AT169" s="253"/>
      <c r="AU169" s="253"/>
      <c r="AV169" s="239"/>
    </row>
    <row r="170" spans="2:48" ht="19.5" customHeight="1" x14ac:dyDescent="0.25">
      <c r="I170" s="83">
        <v>155</v>
      </c>
      <c r="J170" s="255" t="str">
        <f>IF(I170&lt;=MAX(Forest_data[Age]),I170,"")</f>
        <v/>
      </c>
      <c r="K170" s="256" t="str">
        <f>IF(ISNUMBER(J170),LOOKUP(J170, Forest_data[[#All],[Age]],Forest_data[[#All],[Number of trees per ha]]),"")</f>
        <v/>
      </c>
      <c r="L170" s="257" t="str">
        <f>IF(ISNUMBER(J170),IF(ISNA(VLOOKUP(J170,Forest_data[#All],3,FALSE)),#N/A, VLOOKUP(J170,Forest_data[#All],3,FALSE)),"")</f>
        <v/>
      </c>
      <c r="M170" s="257" t="str">
        <f>IF(ISNUMBER(J170),IF(ISNA(VLOOKUP(J170,Forest_data[#All],4,FALSE)),#N/A, VLOOKUP(J170,Forest_data[#All],4,FALSE)),"")</f>
        <v/>
      </c>
      <c r="N170" s="257" t="str">
        <f>IF(ISNUMBER(J170),IF(ISNA(VLOOKUP(J170,Forest_data[#All],5,FALSE)),#N/A, VLOOKUP(J170,Forest_data[#All],5,FALSE)),"")</f>
        <v/>
      </c>
      <c r="O170" s="257" t="str">
        <f>IF(ISNUMBER(J170),IF(ISNA(VLOOKUP(J170,Forest_data[#All],6,FALSE)),#N/A, VLOOKUP(J170,Forest_data[#All],6,FALSE)),"")</f>
        <v/>
      </c>
      <c r="P170" s="257" t="str">
        <f t="shared" si="23"/>
        <v/>
      </c>
      <c r="Q170" s="257" t="str">
        <f t="shared" si="16"/>
        <v/>
      </c>
      <c r="R170" s="257" t="str">
        <f t="shared" si="21"/>
        <v/>
      </c>
      <c r="S170" s="283" t="str">
        <f t="shared" si="17"/>
        <v/>
      </c>
      <c r="T170" s="258" t="str">
        <f t="shared" si="18"/>
        <v/>
      </c>
      <c r="U170" s="257" t="str">
        <f t="shared" si="19"/>
        <v/>
      </c>
      <c r="V170" s="257" t="str">
        <f t="shared" si="22"/>
        <v/>
      </c>
      <c r="W170" s="283" t="str">
        <f t="shared" si="20"/>
        <v/>
      </c>
      <c r="X170" s="253"/>
      <c r="Y170" s="253"/>
      <c r="Z170" s="253"/>
      <c r="AA170" s="253"/>
      <c r="AB170" s="253"/>
      <c r="AC170" s="253"/>
      <c r="AD170" s="253"/>
      <c r="AE170" s="253"/>
      <c r="AF170" s="253"/>
      <c r="AG170" s="253"/>
      <c r="AH170" s="253"/>
      <c r="AI170" s="253"/>
      <c r="AJ170" s="253"/>
      <c r="AK170" s="253"/>
      <c r="AL170" s="253"/>
      <c r="AM170" s="253"/>
      <c r="AN170" s="253"/>
      <c r="AO170" s="253"/>
      <c r="AP170" s="253"/>
      <c r="AQ170" s="253"/>
      <c r="AR170" s="253"/>
      <c r="AS170" s="253"/>
      <c r="AT170" s="253"/>
      <c r="AU170" s="253"/>
      <c r="AV170" s="239"/>
    </row>
    <row r="171" spans="2:48" ht="19.5" customHeight="1" x14ac:dyDescent="0.25">
      <c r="I171" s="260">
        <v>156</v>
      </c>
      <c r="J171" s="255" t="str">
        <f>IF(I171&lt;=MAX(Forest_data[Age]),I171,"")</f>
        <v/>
      </c>
      <c r="K171" s="256" t="str">
        <f>IF(ISNUMBER(J171),LOOKUP(J171, Forest_data[[#All],[Age]],Forest_data[[#All],[Number of trees per ha]]),"")</f>
        <v/>
      </c>
      <c r="L171" s="257" t="str">
        <f>IF(ISNUMBER(J171),IF(ISNA(VLOOKUP(J171,Forest_data[#All],3,FALSE)),#N/A, VLOOKUP(J171,Forest_data[#All],3,FALSE)),"")</f>
        <v/>
      </c>
      <c r="M171" s="257" t="str">
        <f>IF(ISNUMBER(J171),IF(ISNA(VLOOKUP(J171,Forest_data[#All],4,FALSE)),#N/A, VLOOKUP(J171,Forest_data[#All],4,FALSE)),"")</f>
        <v/>
      </c>
      <c r="N171" s="257" t="str">
        <f>IF(ISNUMBER(J171),IF(ISNA(VLOOKUP(J171,Forest_data[#All],5,FALSE)),#N/A, VLOOKUP(J171,Forest_data[#All],5,FALSE)),"")</f>
        <v/>
      </c>
      <c r="O171" s="257" t="str">
        <f>IF(ISNUMBER(J171),IF(ISNA(VLOOKUP(J171,Forest_data[#All],6,FALSE)),#N/A, VLOOKUP(J171,Forest_data[#All],6,FALSE)),"")</f>
        <v/>
      </c>
      <c r="P171" s="257" t="str">
        <f t="shared" si="23"/>
        <v/>
      </c>
      <c r="Q171" s="257" t="str">
        <f t="shared" si="16"/>
        <v/>
      </c>
      <c r="R171" s="257" t="str">
        <f t="shared" si="21"/>
        <v/>
      </c>
      <c r="S171" s="283" t="str">
        <f t="shared" si="17"/>
        <v/>
      </c>
      <c r="T171" s="258" t="str">
        <f t="shared" si="18"/>
        <v/>
      </c>
      <c r="U171" s="257" t="str">
        <f t="shared" si="19"/>
        <v/>
      </c>
      <c r="V171" s="257" t="str">
        <f t="shared" si="22"/>
        <v/>
      </c>
      <c r="W171" s="283" t="str">
        <f t="shared" si="20"/>
        <v/>
      </c>
      <c r="X171" s="253"/>
      <c r="Y171" s="253"/>
      <c r="Z171" s="253"/>
      <c r="AA171" s="253"/>
      <c r="AB171" s="253"/>
      <c r="AC171" s="253"/>
      <c r="AD171" s="253"/>
      <c r="AE171" s="253"/>
      <c r="AF171" s="253"/>
      <c r="AG171" s="253"/>
      <c r="AH171" s="253"/>
      <c r="AI171" s="253"/>
      <c r="AJ171" s="253"/>
      <c r="AK171" s="253"/>
      <c r="AL171" s="253"/>
      <c r="AM171" s="253"/>
      <c r="AN171" s="253"/>
      <c r="AO171" s="253"/>
      <c r="AP171" s="253"/>
      <c r="AQ171" s="253"/>
      <c r="AR171" s="253"/>
      <c r="AS171" s="253"/>
      <c r="AT171" s="253"/>
      <c r="AU171" s="253"/>
      <c r="AV171" s="239"/>
    </row>
    <row r="172" spans="2:48" ht="19.5" customHeight="1" x14ac:dyDescent="0.25">
      <c r="I172" s="83">
        <v>157</v>
      </c>
      <c r="J172" s="255" t="str">
        <f>IF(I172&lt;=MAX(Forest_data[Age]),I172,"")</f>
        <v/>
      </c>
      <c r="K172" s="256" t="str">
        <f>IF(ISNUMBER(J172),LOOKUP(J172, Forest_data[[#All],[Age]],Forest_data[[#All],[Number of trees per ha]]),"")</f>
        <v/>
      </c>
      <c r="L172" s="257" t="str">
        <f>IF(ISNUMBER(J172),IF(ISNA(VLOOKUP(J172,Forest_data[#All],3,FALSE)),#N/A, VLOOKUP(J172,Forest_data[#All],3,FALSE)),"")</f>
        <v/>
      </c>
      <c r="M172" s="257" t="str">
        <f>IF(ISNUMBER(J172),IF(ISNA(VLOOKUP(J172,Forest_data[#All],4,FALSE)),#N/A, VLOOKUP(J172,Forest_data[#All],4,FALSE)),"")</f>
        <v/>
      </c>
      <c r="N172" s="257" t="str">
        <f>IF(ISNUMBER(J172),IF(ISNA(VLOOKUP(J172,Forest_data[#All],5,FALSE)),#N/A, VLOOKUP(J172,Forest_data[#All],5,FALSE)),"")</f>
        <v/>
      </c>
      <c r="O172" s="257" t="str">
        <f>IF(ISNUMBER(J172),IF(ISNA(VLOOKUP(J172,Forest_data[#All],6,FALSE)),#N/A, VLOOKUP(J172,Forest_data[#All],6,FALSE)),"")</f>
        <v/>
      </c>
      <c r="P172" s="257" t="str">
        <f t="shared" si="23"/>
        <v/>
      </c>
      <c r="Q172" s="257" t="str">
        <f t="shared" si="16"/>
        <v/>
      </c>
      <c r="R172" s="257" t="str">
        <f t="shared" si="21"/>
        <v/>
      </c>
      <c r="S172" s="283" t="str">
        <f t="shared" si="17"/>
        <v/>
      </c>
      <c r="T172" s="258" t="str">
        <f t="shared" si="18"/>
        <v/>
      </c>
      <c r="U172" s="257" t="str">
        <f t="shared" si="19"/>
        <v/>
      </c>
      <c r="V172" s="257" t="str">
        <f t="shared" si="22"/>
        <v/>
      </c>
      <c r="W172" s="283" t="str">
        <f t="shared" si="20"/>
        <v/>
      </c>
      <c r="X172" s="253"/>
      <c r="Y172" s="253"/>
      <c r="Z172" s="253"/>
      <c r="AA172" s="253"/>
      <c r="AB172" s="253"/>
      <c r="AC172" s="253"/>
      <c r="AD172" s="253"/>
      <c r="AE172" s="253"/>
      <c r="AF172" s="253"/>
      <c r="AG172" s="253"/>
      <c r="AH172" s="253"/>
      <c r="AI172" s="253"/>
      <c r="AJ172" s="253"/>
      <c r="AK172" s="253"/>
      <c r="AL172" s="253"/>
      <c r="AM172" s="253"/>
      <c r="AN172" s="253"/>
      <c r="AO172" s="253"/>
      <c r="AP172" s="253"/>
      <c r="AQ172" s="253"/>
      <c r="AR172" s="253"/>
      <c r="AS172" s="253"/>
      <c r="AT172" s="253"/>
      <c r="AU172" s="253"/>
      <c r="AV172" s="239"/>
    </row>
    <row r="173" spans="2:48" ht="19.5" customHeight="1" x14ac:dyDescent="0.25">
      <c r="I173" s="83">
        <v>158</v>
      </c>
      <c r="J173" s="255" t="str">
        <f>IF(I173&lt;=MAX(Forest_data[Age]),I173,"")</f>
        <v/>
      </c>
      <c r="K173" s="256" t="str">
        <f>IF(ISNUMBER(J173),LOOKUP(J173, Forest_data[[#All],[Age]],Forest_data[[#All],[Number of trees per ha]]),"")</f>
        <v/>
      </c>
      <c r="L173" s="257" t="str">
        <f>IF(ISNUMBER(J173),IF(ISNA(VLOOKUP(J173,Forest_data[#All],3,FALSE)),#N/A, VLOOKUP(J173,Forest_data[#All],3,FALSE)),"")</f>
        <v/>
      </c>
      <c r="M173" s="257" t="str">
        <f>IF(ISNUMBER(J173),IF(ISNA(VLOOKUP(J173,Forest_data[#All],4,FALSE)),#N/A, VLOOKUP(J173,Forest_data[#All],4,FALSE)),"")</f>
        <v/>
      </c>
      <c r="N173" s="257" t="str">
        <f>IF(ISNUMBER(J173),IF(ISNA(VLOOKUP(J173,Forest_data[#All],5,FALSE)),#N/A, VLOOKUP(J173,Forest_data[#All],5,FALSE)),"")</f>
        <v/>
      </c>
      <c r="O173" s="257" t="str">
        <f>IF(ISNUMBER(J173),IF(ISNA(VLOOKUP(J173,Forest_data[#All],6,FALSE)),#N/A, VLOOKUP(J173,Forest_data[#All],6,FALSE)),"")</f>
        <v/>
      </c>
      <c r="P173" s="257" t="str">
        <f t="shared" si="23"/>
        <v/>
      </c>
      <c r="Q173" s="257" t="str">
        <f t="shared" si="16"/>
        <v/>
      </c>
      <c r="R173" s="257" t="str">
        <f t="shared" si="21"/>
        <v/>
      </c>
      <c r="S173" s="283" t="str">
        <f t="shared" si="17"/>
        <v/>
      </c>
      <c r="T173" s="258" t="str">
        <f t="shared" si="18"/>
        <v/>
      </c>
      <c r="U173" s="257" t="str">
        <f t="shared" si="19"/>
        <v/>
      </c>
      <c r="V173" s="257" t="str">
        <f t="shared" si="22"/>
        <v/>
      </c>
      <c r="W173" s="283" t="str">
        <f t="shared" si="20"/>
        <v/>
      </c>
      <c r="X173" s="253"/>
      <c r="Y173" s="253"/>
      <c r="Z173" s="253"/>
      <c r="AA173" s="253"/>
      <c r="AB173" s="253"/>
      <c r="AC173" s="253"/>
      <c r="AD173" s="253"/>
      <c r="AE173" s="253"/>
      <c r="AF173" s="253"/>
      <c r="AG173" s="253"/>
      <c r="AH173" s="253"/>
      <c r="AI173" s="253"/>
      <c r="AJ173" s="253"/>
      <c r="AK173" s="253"/>
      <c r="AL173" s="253"/>
      <c r="AM173" s="253"/>
      <c r="AN173" s="253"/>
      <c r="AO173" s="253"/>
      <c r="AP173" s="253"/>
      <c r="AQ173" s="253"/>
      <c r="AR173" s="253"/>
      <c r="AS173" s="253"/>
      <c r="AT173" s="253"/>
      <c r="AU173" s="253"/>
      <c r="AV173" s="239"/>
    </row>
    <row r="174" spans="2:48" ht="19.5" customHeight="1" x14ac:dyDescent="0.25">
      <c r="I174" s="83">
        <v>159</v>
      </c>
      <c r="J174" s="255" t="str">
        <f>IF(I174&lt;=MAX(Forest_data[Age]),I174,"")</f>
        <v/>
      </c>
      <c r="K174" s="256" t="str">
        <f>IF(ISNUMBER(J174),LOOKUP(J174, Forest_data[[#All],[Age]],Forest_data[[#All],[Number of trees per ha]]),"")</f>
        <v/>
      </c>
      <c r="L174" s="257" t="str">
        <f>IF(ISNUMBER(J174),IF(ISNA(VLOOKUP(J174,Forest_data[#All],3,FALSE)),#N/A, VLOOKUP(J174,Forest_data[#All],3,FALSE)),"")</f>
        <v/>
      </c>
      <c r="M174" s="257" t="str">
        <f>IF(ISNUMBER(J174),IF(ISNA(VLOOKUP(J174,Forest_data[#All],4,FALSE)),#N/A, VLOOKUP(J174,Forest_data[#All],4,FALSE)),"")</f>
        <v/>
      </c>
      <c r="N174" s="257" t="str">
        <f>IF(ISNUMBER(J174),IF(ISNA(VLOOKUP(J174,Forest_data[#All],5,FALSE)),#N/A, VLOOKUP(J174,Forest_data[#All],5,FALSE)),"")</f>
        <v/>
      </c>
      <c r="O174" s="257" t="str">
        <f>IF(ISNUMBER(J174),IF(ISNA(VLOOKUP(J174,Forest_data[#All],6,FALSE)),#N/A, VLOOKUP(J174,Forest_data[#All],6,FALSE)),"")</f>
        <v/>
      </c>
      <c r="P174" s="257" t="str">
        <f t="shared" si="23"/>
        <v/>
      </c>
      <c r="Q174" s="257" t="str">
        <f t="shared" si="16"/>
        <v/>
      </c>
      <c r="R174" s="257" t="str">
        <f t="shared" si="21"/>
        <v/>
      </c>
      <c r="S174" s="283" t="str">
        <f t="shared" si="17"/>
        <v/>
      </c>
      <c r="T174" s="258" t="str">
        <f t="shared" si="18"/>
        <v/>
      </c>
      <c r="U174" s="257" t="str">
        <f t="shared" si="19"/>
        <v/>
      </c>
      <c r="V174" s="257" t="str">
        <f t="shared" si="22"/>
        <v/>
      </c>
      <c r="W174" s="283" t="str">
        <f t="shared" si="20"/>
        <v/>
      </c>
      <c r="X174" s="253"/>
      <c r="Y174" s="253"/>
      <c r="Z174" s="253"/>
      <c r="AA174" s="253"/>
      <c r="AB174" s="253"/>
      <c r="AC174" s="253"/>
      <c r="AD174" s="253"/>
      <c r="AE174" s="253"/>
      <c r="AF174" s="253"/>
      <c r="AG174" s="253"/>
      <c r="AH174" s="253"/>
      <c r="AI174" s="253"/>
      <c r="AJ174" s="253"/>
      <c r="AK174" s="253"/>
      <c r="AL174" s="253"/>
      <c r="AM174" s="253"/>
      <c r="AN174" s="253"/>
      <c r="AO174" s="253"/>
      <c r="AP174" s="253"/>
      <c r="AQ174" s="253"/>
      <c r="AR174" s="253"/>
      <c r="AS174" s="253"/>
      <c r="AT174" s="253"/>
      <c r="AU174" s="253"/>
      <c r="AV174" s="239"/>
    </row>
    <row r="175" spans="2:48" ht="19.5" customHeight="1" x14ac:dyDescent="0.25">
      <c r="I175" s="260">
        <v>160</v>
      </c>
      <c r="J175" s="255" t="str">
        <f>IF(I175&lt;=MAX(Forest_data[Age]),I175,"")</f>
        <v/>
      </c>
      <c r="K175" s="256" t="str">
        <f>IF(ISNUMBER(J175),LOOKUP(J175, Forest_data[[#All],[Age]],Forest_data[[#All],[Number of trees per ha]]),"")</f>
        <v/>
      </c>
      <c r="L175" s="257" t="str">
        <f>IF(ISNUMBER(J175),IF(ISNA(VLOOKUP(J175,Forest_data[#All],3,FALSE)),#N/A, VLOOKUP(J175,Forest_data[#All],3,FALSE)),"")</f>
        <v/>
      </c>
      <c r="M175" s="257" t="str">
        <f>IF(ISNUMBER(J175),IF(ISNA(VLOOKUP(J175,Forest_data[#All],4,FALSE)),#N/A, VLOOKUP(J175,Forest_data[#All],4,FALSE)),"")</f>
        <v/>
      </c>
      <c r="N175" s="257" t="str">
        <f>IF(ISNUMBER(J175),IF(ISNA(VLOOKUP(J175,Forest_data[#All],5,FALSE)),#N/A, VLOOKUP(J175,Forest_data[#All],5,FALSE)),"")</f>
        <v/>
      </c>
      <c r="O175" s="257" t="str">
        <f>IF(ISNUMBER(J175),IF(ISNA(VLOOKUP(J175,Forest_data[#All],6,FALSE)),#N/A, VLOOKUP(J175,Forest_data[#All],6,FALSE)),"")</f>
        <v/>
      </c>
      <c r="P175" s="257" t="str">
        <f t="shared" si="23"/>
        <v/>
      </c>
      <c r="Q175" s="257" t="str">
        <f t="shared" si="16"/>
        <v/>
      </c>
      <c r="R175" s="257" t="str">
        <f t="shared" si="21"/>
        <v/>
      </c>
      <c r="S175" s="283" t="str">
        <f t="shared" si="17"/>
        <v/>
      </c>
      <c r="T175" s="258" t="str">
        <f t="shared" si="18"/>
        <v/>
      </c>
      <c r="U175" s="257" t="str">
        <f t="shared" si="19"/>
        <v/>
      </c>
      <c r="V175" s="257" t="str">
        <f t="shared" si="22"/>
        <v/>
      </c>
      <c r="W175" s="283" t="str">
        <f t="shared" si="20"/>
        <v/>
      </c>
      <c r="X175" s="253"/>
      <c r="Y175" s="253"/>
      <c r="Z175" s="253"/>
      <c r="AA175" s="253"/>
      <c r="AB175" s="253"/>
      <c r="AC175" s="253"/>
      <c r="AD175" s="253"/>
      <c r="AE175" s="253"/>
      <c r="AF175" s="253"/>
      <c r="AG175" s="253"/>
      <c r="AH175" s="253"/>
      <c r="AI175" s="253"/>
      <c r="AJ175" s="253"/>
      <c r="AK175" s="253"/>
      <c r="AL175" s="253"/>
      <c r="AM175" s="253"/>
      <c r="AN175" s="253"/>
      <c r="AO175" s="253"/>
      <c r="AP175" s="253"/>
      <c r="AQ175" s="253"/>
      <c r="AR175" s="253"/>
      <c r="AS175" s="253"/>
      <c r="AT175" s="253"/>
      <c r="AU175" s="253"/>
      <c r="AV175" s="239"/>
    </row>
    <row r="176" spans="2:48" ht="19.5" customHeight="1" x14ac:dyDescent="0.25">
      <c r="I176" s="83">
        <v>161</v>
      </c>
      <c r="J176" s="255" t="str">
        <f>IF(I176&lt;=MAX(Forest_data[Age]),I176,"")</f>
        <v/>
      </c>
      <c r="K176" s="256" t="str">
        <f>IF(ISNUMBER(J176),LOOKUP(J176, Forest_data[[#All],[Age]],Forest_data[[#All],[Number of trees per ha]]),"")</f>
        <v/>
      </c>
      <c r="L176" s="257" t="str">
        <f>IF(ISNUMBER(J176),IF(ISNA(VLOOKUP(J176,Forest_data[#All],3,FALSE)),#N/A, VLOOKUP(J176,Forest_data[#All],3,FALSE)),"")</f>
        <v/>
      </c>
      <c r="M176" s="257" t="str">
        <f>IF(ISNUMBER(J176),IF(ISNA(VLOOKUP(J176,Forest_data[#All],4,FALSE)),#N/A, VLOOKUP(J176,Forest_data[#All],4,FALSE)),"")</f>
        <v/>
      </c>
      <c r="N176" s="257" t="str">
        <f>IF(ISNUMBER(J176),IF(ISNA(VLOOKUP(J176,Forest_data[#All],5,FALSE)),#N/A, VLOOKUP(J176,Forest_data[#All],5,FALSE)),"")</f>
        <v/>
      </c>
      <c r="O176" s="257" t="str">
        <f>IF(ISNUMBER(J176),IF(ISNA(VLOOKUP(J176,Forest_data[#All],6,FALSE)),#N/A, VLOOKUP(J176,Forest_data[#All],6,FALSE)),"")</f>
        <v/>
      </c>
      <c r="P176" s="257" t="str">
        <f t="shared" si="23"/>
        <v/>
      </c>
      <c r="Q176" s="257" t="str">
        <f t="shared" si="16"/>
        <v/>
      </c>
      <c r="R176" s="257" t="str">
        <f t="shared" si="21"/>
        <v/>
      </c>
      <c r="S176" s="283" t="str">
        <f t="shared" si="17"/>
        <v/>
      </c>
      <c r="T176" s="258" t="str">
        <f t="shared" si="18"/>
        <v/>
      </c>
      <c r="U176" s="257" t="str">
        <f t="shared" si="19"/>
        <v/>
      </c>
      <c r="V176" s="257" t="str">
        <f t="shared" si="22"/>
        <v/>
      </c>
      <c r="W176" s="283" t="str">
        <f t="shared" si="20"/>
        <v/>
      </c>
      <c r="X176" s="253"/>
      <c r="Y176" s="253"/>
      <c r="Z176" s="253"/>
      <c r="AA176" s="253"/>
      <c r="AB176" s="253"/>
      <c r="AC176" s="253"/>
      <c r="AD176" s="253"/>
      <c r="AE176" s="253"/>
      <c r="AF176" s="253"/>
      <c r="AG176" s="253"/>
      <c r="AH176" s="253"/>
      <c r="AI176" s="253"/>
      <c r="AJ176" s="253"/>
      <c r="AK176" s="253"/>
      <c r="AL176" s="253"/>
      <c r="AM176" s="253"/>
      <c r="AN176" s="253"/>
      <c r="AO176" s="253"/>
      <c r="AP176" s="253"/>
      <c r="AQ176" s="253"/>
      <c r="AR176" s="253"/>
      <c r="AS176" s="253"/>
      <c r="AT176" s="253"/>
      <c r="AU176" s="253"/>
      <c r="AV176" s="239"/>
    </row>
    <row r="177" spans="2:48" ht="19.5" customHeight="1" x14ac:dyDescent="0.25">
      <c r="I177" s="83">
        <v>162</v>
      </c>
      <c r="J177" s="255" t="str">
        <f>IF(I177&lt;=MAX(Forest_data[Age]),I177,"")</f>
        <v/>
      </c>
      <c r="K177" s="256" t="str">
        <f>IF(ISNUMBER(J177),LOOKUP(J177, Forest_data[[#All],[Age]],Forest_data[[#All],[Number of trees per ha]]),"")</f>
        <v/>
      </c>
      <c r="L177" s="257" t="str">
        <f>IF(ISNUMBER(J177),IF(ISNA(VLOOKUP(J177,Forest_data[#All],3,FALSE)),#N/A, VLOOKUP(J177,Forest_data[#All],3,FALSE)),"")</f>
        <v/>
      </c>
      <c r="M177" s="257" t="str">
        <f>IF(ISNUMBER(J177),IF(ISNA(VLOOKUP(J177,Forest_data[#All],4,FALSE)),#N/A, VLOOKUP(J177,Forest_data[#All],4,FALSE)),"")</f>
        <v/>
      </c>
      <c r="N177" s="257" t="str">
        <f>IF(ISNUMBER(J177),IF(ISNA(VLOOKUP(J177,Forest_data[#All],5,FALSE)),#N/A, VLOOKUP(J177,Forest_data[#All],5,FALSE)),"")</f>
        <v/>
      </c>
      <c r="O177" s="257" t="str">
        <f>IF(ISNUMBER(J177),IF(ISNA(VLOOKUP(J177,Forest_data[#All],6,FALSE)),#N/A, VLOOKUP(J177,Forest_data[#All],6,FALSE)),"")</f>
        <v/>
      </c>
      <c r="P177" s="257" t="str">
        <f t="shared" si="23"/>
        <v/>
      </c>
      <c r="Q177" s="257" t="str">
        <f t="shared" si="16"/>
        <v/>
      </c>
      <c r="R177" s="257" t="str">
        <f t="shared" si="21"/>
        <v/>
      </c>
      <c r="S177" s="283" t="str">
        <f t="shared" si="17"/>
        <v/>
      </c>
      <c r="T177" s="258" t="str">
        <f t="shared" si="18"/>
        <v/>
      </c>
      <c r="U177" s="257" t="str">
        <f t="shared" si="19"/>
        <v/>
      </c>
      <c r="V177" s="257" t="str">
        <f t="shared" si="22"/>
        <v/>
      </c>
      <c r="W177" s="283" t="str">
        <f t="shared" si="20"/>
        <v/>
      </c>
      <c r="X177" s="253"/>
      <c r="Y177" s="253"/>
      <c r="Z177" s="253"/>
      <c r="AA177" s="253"/>
      <c r="AB177" s="253"/>
      <c r="AC177" s="253"/>
      <c r="AD177" s="253"/>
      <c r="AE177" s="253"/>
      <c r="AF177" s="253"/>
      <c r="AG177" s="253"/>
      <c r="AH177" s="253"/>
      <c r="AI177" s="253"/>
      <c r="AJ177" s="253"/>
      <c r="AK177" s="253"/>
      <c r="AL177" s="253"/>
      <c r="AM177" s="253"/>
      <c r="AN177" s="253"/>
      <c r="AO177" s="253"/>
      <c r="AP177" s="253"/>
      <c r="AQ177" s="253"/>
      <c r="AR177" s="253"/>
      <c r="AS177" s="253"/>
      <c r="AT177" s="253"/>
      <c r="AU177" s="253"/>
      <c r="AV177" s="239"/>
    </row>
    <row r="178" spans="2:48" ht="19.5" customHeight="1" x14ac:dyDescent="0.25">
      <c r="I178" s="83">
        <v>163</v>
      </c>
      <c r="J178" s="255" t="str">
        <f>IF(I178&lt;=MAX(Forest_data[Age]),I178,"")</f>
        <v/>
      </c>
      <c r="K178" s="256" t="str">
        <f>IF(ISNUMBER(J178),LOOKUP(J178, Forest_data[[#All],[Age]],Forest_data[[#All],[Number of trees per ha]]),"")</f>
        <v/>
      </c>
      <c r="L178" s="257" t="str">
        <f>IF(ISNUMBER(J178),IF(ISNA(VLOOKUP(J178,Forest_data[#All],3,FALSE)),#N/A, VLOOKUP(J178,Forest_data[#All],3,FALSE)),"")</f>
        <v/>
      </c>
      <c r="M178" s="257" t="str">
        <f>IF(ISNUMBER(J178),IF(ISNA(VLOOKUP(J178,Forest_data[#All],4,FALSE)),#N/A, VLOOKUP(J178,Forest_data[#All],4,FALSE)),"")</f>
        <v/>
      </c>
      <c r="N178" s="257" t="str">
        <f>IF(ISNUMBER(J178),IF(ISNA(VLOOKUP(J178,Forest_data[#All],5,FALSE)),#N/A, VLOOKUP(J178,Forest_data[#All],5,FALSE)),"")</f>
        <v/>
      </c>
      <c r="O178" s="257" t="str">
        <f>IF(ISNUMBER(J178),IF(ISNA(VLOOKUP(J178,Forest_data[#All],6,FALSE)),#N/A, VLOOKUP(J178,Forest_data[#All],6,FALSE)),"")</f>
        <v/>
      </c>
      <c r="P178" s="257" t="str">
        <f t="shared" si="23"/>
        <v/>
      </c>
      <c r="Q178" s="257" t="str">
        <f t="shared" si="16"/>
        <v/>
      </c>
      <c r="R178" s="257" t="str">
        <f t="shared" si="21"/>
        <v/>
      </c>
      <c r="S178" s="283" t="str">
        <f t="shared" si="17"/>
        <v/>
      </c>
      <c r="T178" s="258" t="str">
        <f t="shared" si="18"/>
        <v/>
      </c>
      <c r="U178" s="257" t="str">
        <f t="shared" si="19"/>
        <v/>
      </c>
      <c r="V178" s="257" t="str">
        <f t="shared" si="22"/>
        <v/>
      </c>
      <c r="W178" s="283" t="str">
        <f t="shared" si="20"/>
        <v/>
      </c>
      <c r="X178" s="253"/>
      <c r="Y178" s="253"/>
      <c r="Z178" s="253"/>
      <c r="AA178" s="253"/>
      <c r="AB178" s="253"/>
      <c r="AC178" s="253"/>
      <c r="AD178" s="253"/>
      <c r="AE178" s="253"/>
      <c r="AF178" s="253"/>
      <c r="AG178" s="253"/>
      <c r="AH178" s="253"/>
      <c r="AI178" s="253"/>
      <c r="AJ178" s="253"/>
      <c r="AK178" s="253"/>
      <c r="AL178" s="253"/>
      <c r="AM178" s="253"/>
      <c r="AN178" s="253"/>
      <c r="AO178" s="253"/>
      <c r="AP178" s="253"/>
      <c r="AQ178" s="253"/>
      <c r="AR178" s="253"/>
      <c r="AS178" s="253"/>
      <c r="AT178" s="253"/>
      <c r="AU178" s="253"/>
      <c r="AV178" s="239"/>
    </row>
    <row r="179" spans="2:48" ht="19.5" customHeight="1" x14ac:dyDescent="0.25">
      <c r="I179" s="260">
        <v>164</v>
      </c>
      <c r="J179" s="255" t="str">
        <f>IF(I179&lt;=MAX(Forest_data[Age]),I179,"")</f>
        <v/>
      </c>
      <c r="K179" s="256" t="str">
        <f>IF(ISNUMBER(J179),LOOKUP(J179, Forest_data[[#All],[Age]],Forest_data[[#All],[Number of trees per ha]]),"")</f>
        <v/>
      </c>
      <c r="L179" s="257" t="str">
        <f>IF(ISNUMBER(J179),IF(ISNA(VLOOKUP(J179,Forest_data[#All],3,FALSE)),#N/A, VLOOKUP(J179,Forest_data[#All],3,FALSE)),"")</f>
        <v/>
      </c>
      <c r="M179" s="257" t="str">
        <f>IF(ISNUMBER(J179),IF(ISNA(VLOOKUP(J179,Forest_data[#All],4,FALSE)),#N/A, VLOOKUP(J179,Forest_data[#All],4,FALSE)),"")</f>
        <v/>
      </c>
      <c r="N179" s="257" t="str">
        <f>IF(ISNUMBER(J179),IF(ISNA(VLOOKUP(J179,Forest_data[#All],5,FALSE)),#N/A, VLOOKUP(J179,Forest_data[#All],5,FALSE)),"")</f>
        <v/>
      </c>
      <c r="O179" s="257" t="str">
        <f>IF(ISNUMBER(J179),IF(ISNA(VLOOKUP(J179,Forest_data[#All],6,FALSE)),#N/A, VLOOKUP(J179,Forest_data[#All],6,FALSE)),"")</f>
        <v/>
      </c>
      <c r="P179" s="257" t="str">
        <f t="shared" si="23"/>
        <v/>
      </c>
      <c r="Q179" s="257" t="str">
        <f t="shared" si="16"/>
        <v/>
      </c>
      <c r="R179" s="257" t="str">
        <f t="shared" si="21"/>
        <v/>
      </c>
      <c r="S179" s="283" t="str">
        <f t="shared" si="17"/>
        <v/>
      </c>
      <c r="T179" s="258" t="str">
        <f t="shared" si="18"/>
        <v/>
      </c>
      <c r="U179" s="257" t="str">
        <f t="shared" si="19"/>
        <v/>
      </c>
      <c r="V179" s="257" t="str">
        <f t="shared" si="22"/>
        <v/>
      </c>
      <c r="W179" s="283" t="str">
        <f t="shared" si="20"/>
        <v/>
      </c>
      <c r="X179" s="253"/>
      <c r="Y179" s="253"/>
      <c r="Z179" s="253"/>
      <c r="AA179" s="253"/>
      <c r="AB179" s="253"/>
      <c r="AC179" s="253"/>
      <c r="AD179" s="253"/>
      <c r="AE179" s="253"/>
      <c r="AF179" s="253"/>
      <c r="AG179" s="253"/>
      <c r="AH179" s="253"/>
      <c r="AI179" s="253"/>
      <c r="AJ179" s="253"/>
      <c r="AK179" s="253"/>
      <c r="AL179" s="253"/>
      <c r="AM179" s="253"/>
      <c r="AN179" s="253"/>
      <c r="AO179" s="253"/>
      <c r="AP179" s="253"/>
      <c r="AQ179" s="253"/>
      <c r="AR179" s="253"/>
      <c r="AS179" s="253"/>
      <c r="AT179" s="253"/>
      <c r="AU179" s="253"/>
      <c r="AV179" s="239"/>
    </row>
    <row r="180" spans="2:48" ht="19.5" customHeight="1" x14ac:dyDescent="0.25">
      <c r="B180" s="61"/>
      <c r="C180" s="61"/>
      <c r="D180" s="61"/>
      <c r="E180" s="61"/>
      <c r="F180" s="61"/>
      <c r="I180" s="83">
        <v>165</v>
      </c>
      <c r="J180" s="255" t="str">
        <f>IF(I180&lt;=MAX(Forest_data[Age]),I180,"")</f>
        <v/>
      </c>
      <c r="K180" s="256" t="str">
        <f>IF(ISNUMBER(J180),LOOKUP(J180, Forest_data[[#All],[Age]],Forest_data[[#All],[Number of trees per ha]]),"")</f>
        <v/>
      </c>
      <c r="L180" s="257" t="str">
        <f>IF(ISNUMBER(J180),IF(ISNA(VLOOKUP(J180,Forest_data[#All],3,FALSE)),#N/A, VLOOKUP(J180,Forest_data[#All],3,FALSE)),"")</f>
        <v/>
      </c>
      <c r="M180" s="257" t="str">
        <f>IF(ISNUMBER(J180),IF(ISNA(VLOOKUP(J180,Forest_data[#All],4,FALSE)),#N/A, VLOOKUP(J180,Forest_data[#All],4,FALSE)),"")</f>
        <v/>
      </c>
      <c r="N180" s="257" t="str">
        <f>IF(ISNUMBER(J180),IF(ISNA(VLOOKUP(J180,Forest_data[#All],5,FALSE)),#N/A, VLOOKUP(J180,Forest_data[#All],5,FALSE)),"")</f>
        <v/>
      </c>
      <c r="O180" s="257" t="str">
        <f>IF(ISNUMBER(J180),IF(ISNA(VLOOKUP(J180,Forest_data[#All],6,FALSE)),#N/A, VLOOKUP(J180,Forest_data[#All],6,FALSE)),"")</f>
        <v/>
      </c>
      <c r="P180" s="257" t="str">
        <f t="shared" si="23"/>
        <v/>
      </c>
      <c r="Q180" s="257" t="str">
        <f t="shared" si="16"/>
        <v/>
      </c>
      <c r="R180" s="257" t="str">
        <f t="shared" si="21"/>
        <v/>
      </c>
      <c r="S180" s="283" t="str">
        <f t="shared" si="17"/>
        <v/>
      </c>
      <c r="T180" s="258" t="str">
        <f t="shared" si="18"/>
        <v/>
      </c>
      <c r="U180" s="257" t="str">
        <f t="shared" si="19"/>
        <v/>
      </c>
      <c r="V180" s="257" t="str">
        <f t="shared" si="22"/>
        <v/>
      </c>
      <c r="W180" s="283" t="str">
        <f t="shared" si="20"/>
        <v/>
      </c>
      <c r="X180" s="253"/>
      <c r="Y180" s="253"/>
      <c r="Z180" s="253"/>
      <c r="AA180" s="253"/>
      <c r="AB180" s="253"/>
      <c r="AC180" s="253"/>
      <c r="AD180" s="253"/>
      <c r="AE180" s="253"/>
      <c r="AF180" s="253"/>
      <c r="AG180" s="253"/>
      <c r="AH180" s="253"/>
      <c r="AI180" s="253"/>
      <c r="AJ180" s="253"/>
      <c r="AK180" s="253"/>
      <c r="AL180" s="253"/>
      <c r="AM180" s="253"/>
      <c r="AN180" s="253"/>
      <c r="AO180" s="253"/>
      <c r="AP180" s="253"/>
      <c r="AQ180" s="253"/>
      <c r="AR180" s="253"/>
      <c r="AS180" s="253"/>
      <c r="AT180" s="253"/>
      <c r="AU180" s="253"/>
      <c r="AV180" s="239"/>
    </row>
    <row r="181" spans="2:48" ht="19.5" customHeight="1" x14ac:dyDescent="0.25">
      <c r="B181" s="61"/>
      <c r="C181" s="61"/>
      <c r="D181" s="61"/>
      <c r="E181" s="61"/>
      <c r="F181" s="61"/>
      <c r="I181" s="83">
        <v>166</v>
      </c>
      <c r="J181" s="255" t="str">
        <f>IF(I181&lt;=MAX(Forest_data[Age]),I181,"")</f>
        <v/>
      </c>
      <c r="K181" s="256" t="str">
        <f>IF(ISNUMBER(J181),LOOKUP(J181, Forest_data[[#All],[Age]],Forest_data[[#All],[Number of trees per ha]]),"")</f>
        <v/>
      </c>
      <c r="L181" s="257" t="str">
        <f>IF(ISNUMBER(J181),IF(ISNA(VLOOKUP(J181,Forest_data[#All],3,FALSE)),#N/A, VLOOKUP(J181,Forest_data[#All],3,FALSE)),"")</f>
        <v/>
      </c>
      <c r="M181" s="257" t="str">
        <f>IF(ISNUMBER(J181),IF(ISNA(VLOOKUP(J181,Forest_data[#All],4,FALSE)),#N/A, VLOOKUP(J181,Forest_data[#All],4,FALSE)),"")</f>
        <v/>
      </c>
      <c r="N181" s="257" t="str">
        <f>IF(ISNUMBER(J181),IF(ISNA(VLOOKUP(J181,Forest_data[#All],5,FALSE)),#N/A, VLOOKUP(J181,Forest_data[#All],5,FALSE)),"")</f>
        <v/>
      </c>
      <c r="O181" s="257" t="str">
        <f>IF(ISNUMBER(J181),IF(ISNA(VLOOKUP(J181,Forest_data[#All],6,FALSE)),#N/A, VLOOKUP(J181,Forest_data[#All],6,FALSE)),"")</f>
        <v/>
      </c>
      <c r="P181" s="257" t="str">
        <f t="shared" si="23"/>
        <v/>
      </c>
      <c r="Q181" s="257" t="str">
        <f t="shared" si="16"/>
        <v/>
      </c>
      <c r="R181" s="257" t="str">
        <f t="shared" si="21"/>
        <v/>
      </c>
      <c r="S181" s="283" t="str">
        <f t="shared" si="17"/>
        <v/>
      </c>
      <c r="T181" s="258" t="str">
        <f t="shared" si="18"/>
        <v/>
      </c>
      <c r="U181" s="257" t="str">
        <f t="shared" si="19"/>
        <v/>
      </c>
      <c r="V181" s="257" t="str">
        <f t="shared" si="22"/>
        <v/>
      </c>
      <c r="W181" s="283" t="str">
        <f t="shared" si="20"/>
        <v/>
      </c>
      <c r="X181" s="253"/>
      <c r="Y181" s="253"/>
      <c r="Z181" s="253"/>
      <c r="AA181" s="253"/>
      <c r="AB181" s="253"/>
      <c r="AC181" s="253"/>
      <c r="AD181" s="253"/>
      <c r="AE181" s="253"/>
      <c r="AF181" s="253"/>
      <c r="AG181" s="253"/>
      <c r="AH181" s="253"/>
      <c r="AI181" s="253"/>
      <c r="AJ181" s="253"/>
      <c r="AK181" s="253"/>
      <c r="AL181" s="253"/>
      <c r="AM181" s="253"/>
      <c r="AN181" s="253"/>
      <c r="AO181" s="253"/>
      <c r="AP181" s="253"/>
      <c r="AQ181" s="253"/>
      <c r="AR181" s="253"/>
      <c r="AS181" s="253"/>
      <c r="AT181" s="253"/>
      <c r="AU181" s="253"/>
      <c r="AV181" s="239"/>
    </row>
    <row r="182" spans="2:48" ht="19.5" customHeight="1" x14ac:dyDescent="0.25">
      <c r="B182" s="61"/>
      <c r="C182" s="61"/>
      <c r="D182" s="61"/>
      <c r="E182" s="61"/>
      <c r="F182" s="61"/>
      <c r="I182" s="83">
        <v>167</v>
      </c>
      <c r="J182" s="255" t="str">
        <f>IF(I182&lt;=MAX(Forest_data[Age]),I182,"")</f>
        <v/>
      </c>
      <c r="K182" s="256" t="str">
        <f>IF(ISNUMBER(J182),LOOKUP(J182, Forest_data[[#All],[Age]],Forest_data[[#All],[Number of trees per ha]]),"")</f>
        <v/>
      </c>
      <c r="L182" s="257" t="str">
        <f>IF(ISNUMBER(J182),IF(ISNA(VLOOKUP(J182,Forest_data[#All],3,FALSE)),#N/A, VLOOKUP(J182,Forest_data[#All],3,FALSE)),"")</f>
        <v/>
      </c>
      <c r="M182" s="257" t="str">
        <f>IF(ISNUMBER(J182),IF(ISNA(VLOOKUP(J182,Forest_data[#All],4,FALSE)),#N/A, VLOOKUP(J182,Forest_data[#All],4,FALSE)),"")</f>
        <v/>
      </c>
      <c r="N182" s="257" t="str">
        <f>IF(ISNUMBER(J182),IF(ISNA(VLOOKUP(J182,Forest_data[#All],5,FALSE)),#N/A, VLOOKUP(J182,Forest_data[#All],5,FALSE)),"")</f>
        <v/>
      </c>
      <c r="O182" s="257" t="str">
        <f>IF(ISNUMBER(J182),IF(ISNA(VLOOKUP(J182,Forest_data[#All],6,FALSE)),#N/A, VLOOKUP(J182,Forest_data[#All],6,FALSE)),"")</f>
        <v/>
      </c>
      <c r="P182" s="257" t="str">
        <f t="shared" si="23"/>
        <v/>
      </c>
      <c r="Q182" s="257" t="str">
        <f t="shared" si="16"/>
        <v/>
      </c>
      <c r="R182" s="257" t="str">
        <f t="shared" si="21"/>
        <v/>
      </c>
      <c r="S182" s="283" t="str">
        <f t="shared" si="17"/>
        <v/>
      </c>
      <c r="T182" s="258" t="str">
        <f t="shared" si="18"/>
        <v/>
      </c>
      <c r="U182" s="257" t="str">
        <f t="shared" si="19"/>
        <v/>
      </c>
      <c r="V182" s="257" t="str">
        <f t="shared" si="22"/>
        <v/>
      </c>
      <c r="W182" s="283" t="str">
        <f t="shared" si="20"/>
        <v/>
      </c>
      <c r="X182" s="253"/>
      <c r="Y182" s="253"/>
      <c r="Z182" s="253"/>
      <c r="AA182" s="253"/>
      <c r="AB182" s="253"/>
      <c r="AC182" s="253"/>
      <c r="AD182" s="253"/>
      <c r="AE182" s="253"/>
      <c r="AF182" s="253"/>
      <c r="AG182" s="253"/>
      <c r="AH182" s="253"/>
      <c r="AI182" s="253"/>
      <c r="AJ182" s="253"/>
      <c r="AK182" s="253"/>
      <c r="AL182" s="253"/>
      <c r="AM182" s="253"/>
      <c r="AN182" s="253"/>
      <c r="AO182" s="253"/>
      <c r="AP182" s="253"/>
      <c r="AQ182" s="253"/>
      <c r="AR182" s="253"/>
      <c r="AS182" s="253"/>
      <c r="AT182" s="253"/>
      <c r="AU182" s="253"/>
      <c r="AV182" s="239"/>
    </row>
    <row r="183" spans="2:48" ht="19.5" customHeight="1" x14ac:dyDescent="0.25">
      <c r="B183" s="61"/>
      <c r="C183" s="61"/>
      <c r="D183" s="61"/>
      <c r="E183" s="61"/>
      <c r="F183" s="61"/>
      <c r="I183" s="260">
        <v>168</v>
      </c>
      <c r="J183" s="255" t="str">
        <f>IF(I183&lt;=MAX(Forest_data[Age]),I183,"")</f>
        <v/>
      </c>
      <c r="K183" s="256" t="str">
        <f>IF(ISNUMBER(J183),LOOKUP(J183, Forest_data[[#All],[Age]],Forest_data[[#All],[Number of trees per ha]]),"")</f>
        <v/>
      </c>
      <c r="L183" s="257" t="str">
        <f>IF(ISNUMBER(J183),IF(ISNA(VLOOKUP(J183,Forest_data[#All],3,FALSE)),#N/A, VLOOKUP(J183,Forest_data[#All],3,FALSE)),"")</f>
        <v/>
      </c>
      <c r="M183" s="257" t="str">
        <f>IF(ISNUMBER(J183),IF(ISNA(VLOOKUP(J183,Forest_data[#All],4,FALSE)),#N/A, VLOOKUP(J183,Forest_data[#All],4,FALSE)),"")</f>
        <v/>
      </c>
      <c r="N183" s="257" t="str">
        <f>IF(ISNUMBER(J183),IF(ISNA(VLOOKUP(J183,Forest_data[#All],5,FALSE)),#N/A, VLOOKUP(J183,Forest_data[#All],5,FALSE)),"")</f>
        <v/>
      </c>
      <c r="O183" s="257" t="str">
        <f>IF(ISNUMBER(J183),IF(ISNA(VLOOKUP(J183,Forest_data[#All],6,FALSE)),#N/A, VLOOKUP(J183,Forest_data[#All],6,FALSE)),"")</f>
        <v/>
      </c>
      <c r="P183" s="257" t="str">
        <f t="shared" si="23"/>
        <v/>
      </c>
      <c r="Q183" s="257" t="str">
        <f t="shared" si="16"/>
        <v/>
      </c>
      <c r="R183" s="257" t="str">
        <f t="shared" si="21"/>
        <v/>
      </c>
      <c r="S183" s="283" t="str">
        <f t="shared" si="17"/>
        <v/>
      </c>
      <c r="T183" s="258" t="str">
        <f t="shared" si="18"/>
        <v/>
      </c>
      <c r="U183" s="257" t="str">
        <f t="shared" si="19"/>
        <v/>
      </c>
      <c r="V183" s="257" t="str">
        <f t="shared" si="22"/>
        <v/>
      </c>
      <c r="W183" s="283" t="str">
        <f t="shared" si="20"/>
        <v/>
      </c>
      <c r="X183" s="253"/>
      <c r="Y183" s="253"/>
      <c r="Z183" s="253"/>
      <c r="AA183" s="253"/>
      <c r="AB183" s="253"/>
      <c r="AC183" s="253"/>
      <c r="AD183" s="253"/>
      <c r="AE183" s="253"/>
      <c r="AF183" s="253"/>
      <c r="AG183" s="253"/>
      <c r="AH183" s="253"/>
      <c r="AI183" s="253"/>
      <c r="AJ183" s="253"/>
      <c r="AK183" s="253"/>
      <c r="AL183" s="253"/>
      <c r="AM183" s="253"/>
      <c r="AN183" s="253"/>
      <c r="AO183" s="253"/>
      <c r="AP183" s="253"/>
      <c r="AQ183" s="253"/>
      <c r="AR183" s="253"/>
      <c r="AS183" s="253"/>
      <c r="AT183" s="253"/>
      <c r="AU183" s="253"/>
      <c r="AV183" s="239"/>
    </row>
    <row r="184" spans="2:48" ht="19.5" customHeight="1" x14ac:dyDescent="0.25">
      <c r="B184" s="61"/>
      <c r="C184" s="61"/>
      <c r="D184" s="61"/>
      <c r="E184" s="61"/>
      <c r="F184" s="61"/>
      <c r="I184" s="83">
        <v>169</v>
      </c>
      <c r="J184" s="255" t="str">
        <f>IF(I184&lt;=MAX(Forest_data[Age]),I184,"")</f>
        <v/>
      </c>
      <c r="K184" s="256" t="str">
        <f>IF(ISNUMBER(J184),LOOKUP(J184, Forest_data[[#All],[Age]],Forest_data[[#All],[Number of trees per ha]]),"")</f>
        <v/>
      </c>
      <c r="L184" s="257" t="str">
        <f>IF(ISNUMBER(J184),IF(ISNA(VLOOKUP(J184,Forest_data[#All],3,FALSE)),#N/A, VLOOKUP(J184,Forest_data[#All],3,FALSE)),"")</f>
        <v/>
      </c>
      <c r="M184" s="257" t="str">
        <f>IF(ISNUMBER(J184),IF(ISNA(VLOOKUP(J184,Forest_data[#All],4,FALSE)),#N/A, VLOOKUP(J184,Forest_data[#All],4,FALSE)),"")</f>
        <v/>
      </c>
      <c r="N184" s="257" t="str">
        <f>IF(ISNUMBER(J184),IF(ISNA(VLOOKUP(J184,Forest_data[#All],5,FALSE)),#N/A, VLOOKUP(J184,Forest_data[#All],5,FALSE)),"")</f>
        <v/>
      </c>
      <c r="O184" s="257" t="str">
        <f>IF(ISNUMBER(J184),IF(ISNA(VLOOKUP(J184,Forest_data[#All],6,FALSE)),#N/A, VLOOKUP(J184,Forest_data[#All],6,FALSE)),"")</f>
        <v/>
      </c>
      <c r="P184" s="257" t="str">
        <f t="shared" si="23"/>
        <v/>
      </c>
      <c r="Q184" s="257" t="str">
        <f t="shared" si="16"/>
        <v/>
      </c>
      <c r="R184" s="257" t="str">
        <f t="shared" si="21"/>
        <v/>
      </c>
      <c r="S184" s="283" t="str">
        <f t="shared" si="17"/>
        <v/>
      </c>
      <c r="T184" s="258" t="str">
        <f t="shared" si="18"/>
        <v/>
      </c>
      <c r="U184" s="257" t="str">
        <f t="shared" si="19"/>
        <v/>
      </c>
      <c r="V184" s="257" t="str">
        <f t="shared" si="22"/>
        <v/>
      </c>
      <c r="W184" s="283" t="str">
        <f t="shared" si="20"/>
        <v/>
      </c>
      <c r="X184" s="253"/>
      <c r="Y184" s="253"/>
      <c r="Z184" s="253"/>
      <c r="AA184" s="253"/>
      <c r="AB184" s="253"/>
      <c r="AC184" s="253"/>
      <c r="AD184" s="253"/>
      <c r="AE184" s="253"/>
      <c r="AF184" s="253"/>
      <c r="AG184" s="253"/>
      <c r="AH184" s="253"/>
      <c r="AI184" s="253"/>
      <c r="AJ184" s="253"/>
      <c r="AK184" s="253"/>
      <c r="AL184" s="253"/>
      <c r="AM184" s="253"/>
      <c r="AN184" s="253"/>
      <c r="AO184" s="253"/>
      <c r="AP184" s="253"/>
      <c r="AQ184" s="253"/>
      <c r="AR184" s="253"/>
      <c r="AS184" s="253"/>
      <c r="AT184" s="253"/>
      <c r="AU184" s="253"/>
      <c r="AV184" s="239"/>
    </row>
    <row r="185" spans="2:48" ht="19.5" customHeight="1" x14ac:dyDescent="0.25">
      <c r="B185" s="61"/>
      <c r="C185" s="61"/>
      <c r="D185" s="61"/>
      <c r="E185" s="61"/>
      <c r="F185" s="61"/>
      <c r="I185" s="83">
        <v>170</v>
      </c>
      <c r="J185" s="255" t="str">
        <f>IF(I185&lt;=MAX(Forest_data[Age]),I185,"")</f>
        <v/>
      </c>
      <c r="K185" s="256" t="str">
        <f>IF(ISNUMBER(J185),LOOKUP(J185, Forest_data[[#All],[Age]],Forest_data[[#All],[Number of trees per ha]]),"")</f>
        <v/>
      </c>
      <c r="L185" s="257" t="str">
        <f>IF(ISNUMBER(J185),IF(ISNA(VLOOKUP(J185,Forest_data[#All],3,FALSE)),#N/A, VLOOKUP(J185,Forest_data[#All],3,FALSE)),"")</f>
        <v/>
      </c>
      <c r="M185" s="257" t="str">
        <f>IF(ISNUMBER(J185),IF(ISNA(VLOOKUP(J185,Forest_data[#All],4,FALSE)),#N/A, VLOOKUP(J185,Forest_data[#All],4,FALSE)),"")</f>
        <v/>
      </c>
      <c r="N185" s="257" t="str">
        <f>IF(ISNUMBER(J185),IF(ISNA(VLOOKUP(J185,Forest_data[#All],5,FALSE)),#N/A, VLOOKUP(J185,Forest_data[#All],5,FALSE)),"")</f>
        <v/>
      </c>
      <c r="O185" s="257" t="str">
        <f>IF(ISNUMBER(J185),IF(ISNA(VLOOKUP(J185,Forest_data[#All],6,FALSE)),#N/A, VLOOKUP(J185,Forest_data[#All],6,FALSE)),"")</f>
        <v/>
      </c>
      <c r="P185" s="257" t="str">
        <f t="shared" si="23"/>
        <v/>
      </c>
      <c r="Q185" s="257" t="str">
        <f t="shared" si="16"/>
        <v/>
      </c>
      <c r="R185" s="257" t="str">
        <f t="shared" si="21"/>
        <v/>
      </c>
      <c r="S185" s="283" t="str">
        <f t="shared" si="17"/>
        <v/>
      </c>
      <c r="T185" s="258" t="str">
        <f t="shared" si="18"/>
        <v/>
      </c>
      <c r="U185" s="257" t="str">
        <f t="shared" si="19"/>
        <v/>
      </c>
      <c r="V185" s="257" t="str">
        <f t="shared" si="22"/>
        <v/>
      </c>
      <c r="W185" s="283" t="str">
        <f t="shared" si="20"/>
        <v/>
      </c>
      <c r="X185" s="253"/>
      <c r="Y185" s="253"/>
      <c r="Z185" s="253"/>
      <c r="AA185" s="253"/>
      <c r="AB185" s="253"/>
      <c r="AC185" s="253"/>
      <c r="AD185" s="253"/>
      <c r="AE185" s="253"/>
      <c r="AF185" s="253"/>
      <c r="AG185" s="253"/>
      <c r="AH185" s="253"/>
      <c r="AI185" s="253"/>
      <c r="AJ185" s="253"/>
      <c r="AK185" s="253"/>
      <c r="AL185" s="253"/>
      <c r="AM185" s="253"/>
      <c r="AN185" s="253"/>
      <c r="AO185" s="253"/>
      <c r="AP185" s="253"/>
      <c r="AQ185" s="253"/>
      <c r="AR185" s="253"/>
      <c r="AS185" s="253"/>
      <c r="AT185" s="253"/>
      <c r="AU185" s="253"/>
      <c r="AV185" s="239"/>
    </row>
    <row r="186" spans="2:48" ht="19.5" customHeight="1" x14ac:dyDescent="0.25">
      <c r="B186" s="61"/>
      <c r="C186" s="61"/>
      <c r="D186" s="61"/>
      <c r="E186" s="61"/>
      <c r="F186" s="61"/>
      <c r="I186" s="83">
        <v>171</v>
      </c>
      <c r="J186" s="255" t="str">
        <f>IF(I186&lt;=MAX(Forest_data[Age]),I186,"")</f>
        <v/>
      </c>
      <c r="K186" s="256" t="str">
        <f>IF(ISNUMBER(J186),LOOKUP(J186, Forest_data[[#All],[Age]],Forest_data[[#All],[Number of trees per ha]]),"")</f>
        <v/>
      </c>
      <c r="L186" s="257" t="str">
        <f>IF(ISNUMBER(J186),IF(ISNA(VLOOKUP(J186,Forest_data[#All],3,FALSE)),#N/A, VLOOKUP(J186,Forest_data[#All],3,FALSE)),"")</f>
        <v/>
      </c>
      <c r="M186" s="257" t="str">
        <f>IF(ISNUMBER(J186),IF(ISNA(VLOOKUP(J186,Forest_data[#All],4,FALSE)),#N/A, VLOOKUP(J186,Forest_data[#All],4,FALSE)),"")</f>
        <v/>
      </c>
      <c r="N186" s="257" t="str">
        <f>IF(ISNUMBER(J186),IF(ISNA(VLOOKUP(J186,Forest_data[#All],5,FALSE)),#N/A, VLOOKUP(J186,Forest_data[#All],5,FALSE)),"")</f>
        <v/>
      </c>
      <c r="O186" s="257" t="str">
        <f>IF(ISNUMBER(J186),IF(ISNA(VLOOKUP(J186,Forest_data[#All],6,FALSE)),#N/A, VLOOKUP(J186,Forest_data[#All],6,FALSE)),"")</f>
        <v/>
      </c>
      <c r="P186" s="257" t="str">
        <f t="shared" si="23"/>
        <v/>
      </c>
      <c r="Q186" s="257" t="str">
        <f t="shared" si="16"/>
        <v/>
      </c>
      <c r="R186" s="257" t="str">
        <f t="shared" si="21"/>
        <v/>
      </c>
      <c r="S186" s="283" t="str">
        <f t="shared" si="17"/>
        <v/>
      </c>
      <c r="T186" s="258" t="str">
        <f t="shared" si="18"/>
        <v/>
      </c>
      <c r="U186" s="257" t="str">
        <f t="shared" si="19"/>
        <v/>
      </c>
      <c r="V186" s="257" t="str">
        <f t="shared" si="22"/>
        <v/>
      </c>
      <c r="W186" s="283" t="str">
        <f t="shared" si="20"/>
        <v/>
      </c>
      <c r="X186" s="253"/>
      <c r="Y186" s="253"/>
      <c r="Z186" s="253"/>
      <c r="AA186" s="253"/>
      <c r="AB186" s="253"/>
      <c r="AC186" s="253"/>
      <c r="AD186" s="253"/>
      <c r="AE186" s="253"/>
      <c r="AF186" s="253"/>
      <c r="AG186" s="253"/>
      <c r="AH186" s="253"/>
      <c r="AI186" s="253"/>
      <c r="AJ186" s="253"/>
      <c r="AK186" s="253"/>
      <c r="AL186" s="253"/>
      <c r="AM186" s="253"/>
      <c r="AN186" s="253"/>
      <c r="AO186" s="253"/>
      <c r="AP186" s="253"/>
      <c r="AQ186" s="253"/>
      <c r="AR186" s="253"/>
      <c r="AS186" s="253"/>
      <c r="AT186" s="253"/>
      <c r="AU186" s="253"/>
      <c r="AV186" s="239"/>
    </row>
    <row r="187" spans="2:48" ht="19.5" customHeight="1" x14ac:dyDescent="0.25">
      <c r="B187" s="61"/>
      <c r="C187" s="61"/>
      <c r="D187" s="61"/>
      <c r="E187" s="61"/>
      <c r="F187" s="61"/>
      <c r="I187" s="260">
        <v>172</v>
      </c>
      <c r="J187" s="255" t="str">
        <f>IF(I187&lt;=MAX(Forest_data[Age]),I187,"")</f>
        <v/>
      </c>
      <c r="K187" s="256" t="str">
        <f>IF(ISNUMBER(J187),LOOKUP(J187, Forest_data[[#All],[Age]],Forest_data[[#All],[Number of trees per ha]]),"")</f>
        <v/>
      </c>
      <c r="L187" s="257" t="str">
        <f>IF(ISNUMBER(J187),IF(ISNA(VLOOKUP(J187,Forest_data[#All],3,FALSE)),#N/A, VLOOKUP(J187,Forest_data[#All],3,FALSE)),"")</f>
        <v/>
      </c>
      <c r="M187" s="257" t="str">
        <f>IF(ISNUMBER(J187),IF(ISNA(VLOOKUP(J187,Forest_data[#All],4,FALSE)),#N/A, VLOOKUP(J187,Forest_data[#All],4,FALSE)),"")</f>
        <v/>
      </c>
      <c r="N187" s="257" t="str">
        <f>IF(ISNUMBER(J187),IF(ISNA(VLOOKUP(J187,Forest_data[#All],5,FALSE)),#N/A, VLOOKUP(J187,Forest_data[#All],5,FALSE)),"")</f>
        <v/>
      </c>
      <c r="O187" s="257" t="str">
        <f>IF(ISNUMBER(J187),IF(ISNA(VLOOKUP(J187,Forest_data[#All],6,FALSE)),#N/A, VLOOKUP(J187,Forest_data[#All],6,FALSE)),"")</f>
        <v/>
      </c>
      <c r="P187" s="257" t="str">
        <f t="shared" si="23"/>
        <v/>
      </c>
      <c r="Q187" s="257" t="str">
        <f t="shared" si="16"/>
        <v/>
      </c>
      <c r="R187" s="257" t="str">
        <f t="shared" si="21"/>
        <v/>
      </c>
      <c r="S187" s="283" t="str">
        <f t="shared" si="17"/>
        <v/>
      </c>
      <c r="T187" s="258" t="str">
        <f t="shared" si="18"/>
        <v/>
      </c>
      <c r="U187" s="257" t="str">
        <f t="shared" si="19"/>
        <v/>
      </c>
      <c r="V187" s="257" t="str">
        <f t="shared" si="22"/>
        <v/>
      </c>
      <c r="W187" s="283" t="str">
        <f t="shared" si="20"/>
        <v/>
      </c>
      <c r="X187" s="253"/>
      <c r="Y187" s="253"/>
      <c r="Z187" s="253"/>
      <c r="AA187" s="253"/>
      <c r="AB187" s="253"/>
      <c r="AC187" s="253"/>
      <c r="AD187" s="253"/>
      <c r="AE187" s="253"/>
      <c r="AF187" s="253"/>
      <c r="AG187" s="253"/>
      <c r="AH187" s="253"/>
      <c r="AI187" s="253"/>
      <c r="AJ187" s="253"/>
      <c r="AK187" s="253"/>
      <c r="AL187" s="253"/>
      <c r="AM187" s="253"/>
      <c r="AN187" s="253"/>
      <c r="AO187" s="253"/>
      <c r="AP187" s="253"/>
      <c r="AQ187" s="253"/>
      <c r="AR187" s="253"/>
      <c r="AS187" s="253"/>
      <c r="AT187" s="253"/>
      <c r="AU187" s="253"/>
      <c r="AV187" s="239"/>
    </row>
    <row r="188" spans="2:48" ht="19.5" customHeight="1" x14ac:dyDescent="0.25">
      <c r="B188" s="61"/>
      <c r="C188" s="61"/>
      <c r="D188" s="61"/>
      <c r="E188" s="61"/>
      <c r="F188" s="61"/>
      <c r="I188" s="83">
        <v>173</v>
      </c>
      <c r="J188" s="255" t="str">
        <f>IF(I188&lt;=MAX(Forest_data[Age]),I188,"")</f>
        <v/>
      </c>
      <c r="K188" s="256" t="str">
        <f>IF(ISNUMBER(J188),LOOKUP(J188, Forest_data[[#All],[Age]],Forest_data[[#All],[Number of trees per ha]]),"")</f>
        <v/>
      </c>
      <c r="L188" s="257" t="str">
        <f>IF(ISNUMBER(J188),IF(ISNA(VLOOKUP(J188,Forest_data[#All],3,FALSE)),#N/A, VLOOKUP(J188,Forest_data[#All],3,FALSE)),"")</f>
        <v/>
      </c>
      <c r="M188" s="257" t="str">
        <f>IF(ISNUMBER(J188),IF(ISNA(VLOOKUP(J188,Forest_data[#All],4,FALSE)),#N/A, VLOOKUP(J188,Forest_data[#All],4,FALSE)),"")</f>
        <v/>
      </c>
      <c r="N188" s="257" t="str">
        <f>IF(ISNUMBER(J188),IF(ISNA(VLOOKUP(J188,Forest_data[#All],5,FALSE)),#N/A, VLOOKUP(J188,Forest_data[#All],5,FALSE)),"")</f>
        <v/>
      </c>
      <c r="O188" s="257" t="str">
        <f>IF(ISNUMBER(J188),IF(ISNA(VLOOKUP(J188,Forest_data[#All],6,FALSE)),#N/A, VLOOKUP(J188,Forest_data[#All],6,FALSE)),"")</f>
        <v/>
      </c>
      <c r="P188" s="257" t="str">
        <f t="shared" si="23"/>
        <v/>
      </c>
      <c r="Q188" s="257" t="str">
        <f t="shared" si="16"/>
        <v/>
      </c>
      <c r="R188" s="257" t="str">
        <f t="shared" si="21"/>
        <v/>
      </c>
      <c r="S188" s="283" t="str">
        <f t="shared" si="17"/>
        <v/>
      </c>
      <c r="T188" s="258" t="str">
        <f t="shared" si="18"/>
        <v/>
      </c>
      <c r="U188" s="257" t="str">
        <f t="shared" si="19"/>
        <v/>
      </c>
      <c r="V188" s="257" t="str">
        <f t="shared" si="22"/>
        <v/>
      </c>
      <c r="W188" s="283" t="str">
        <f t="shared" si="20"/>
        <v/>
      </c>
      <c r="X188" s="253"/>
      <c r="Y188" s="253"/>
      <c r="Z188" s="253"/>
      <c r="AA188" s="253"/>
      <c r="AB188" s="253"/>
      <c r="AC188" s="253"/>
      <c r="AD188" s="253"/>
      <c r="AE188" s="253"/>
      <c r="AF188" s="253"/>
      <c r="AG188" s="253"/>
      <c r="AH188" s="253"/>
      <c r="AI188" s="253"/>
      <c r="AJ188" s="253"/>
      <c r="AK188" s="253"/>
      <c r="AL188" s="253"/>
      <c r="AM188" s="253"/>
      <c r="AN188" s="253"/>
      <c r="AO188" s="253"/>
      <c r="AP188" s="253"/>
      <c r="AQ188" s="253"/>
      <c r="AR188" s="253"/>
      <c r="AS188" s="253"/>
      <c r="AT188" s="253"/>
      <c r="AU188" s="253"/>
      <c r="AV188" s="239"/>
    </row>
    <row r="189" spans="2:48" ht="19.5" customHeight="1" x14ac:dyDescent="0.25">
      <c r="B189" s="61"/>
      <c r="C189" s="61"/>
      <c r="D189" s="61"/>
      <c r="E189" s="61"/>
      <c r="F189" s="61"/>
      <c r="I189" s="83">
        <v>174</v>
      </c>
      <c r="J189" s="255" t="str">
        <f>IF(I189&lt;=MAX(Forest_data[Age]),I189,"")</f>
        <v/>
      </c>
      <c r="K189" s="256" t="str">
        <f>IF(ISNUMBER(J189),LOOKUP(J189, Forest_data[[#All],[Age]],Forest_data[[#All],[Number of trees per ha]]),"")</f>
        <v/>
      </c>
      <c r="L189" s="257" t="str">
        <f>IF(ISNUMBER(J189),IF(ISNA(VLOOKUP(J189,Forest_data[#All],3,FALSE)),#N/A, VLOOKUP(J189,Forest_data[#All],3,FALSE)),"")</f>
        <v/>
      </c>
      <c r="M189" s="257" t="str">
        <f>IF(ISNUMBER(J189),IF(ISNA(VLOOKUP(J189,Forest_data[#All],4,FALSE)),#N/A, VLOOKUP(J189,Forest_data[#All],4,FALSE)),"")</f>
        <v/>
      </c>
      <c r="N189" s="257" t="str">
        <f>IF(ISNUMBER(J189),IF(ISNA(VLOOKUP(J189,Forest_data[#All],5,FALSE)),#N/A, VLOOKUP(J189,Forest_data[#All],5,FALSE)),"")</f>
        <v/>
      </c>
      <c r="O189" s="257" t="str">
        <f>IF(ISNUMBER(J189),IF(ISNA(VLOOKUP(J189,Forest_data[#All],6,FALSE)),#N/A, VLOOKUP(J189,Forest_data[#All],6,FALSE)),"")</f>
        <v/>
      </c>
      <c r="P189" s="257" t="str">
        <f t="shared" si="23"/>
        <v/>
      </c>
      <c r="Q189" s="257" t="str">
        <f t="shared" si="16"/>
        <v/>
      </c>
      <c r="R189" s="257" t="str">
        <f t="shared" si="21"/>
        <v/>
      </c>
      <c r="S189" s="283" t="str">
        <f t="shared" si="17"/>
        <v/>
      </c>
      <c r="T189" s="258" t="str">
        <f t="shared" si="18"/>
        <v/>
      </c>
      <c r="U189" s="257" t="str">
        <f t="shared" si="19"/>
        <v/>
      </c>
      <c r="V189" s="257" t="str">
        <f t="shared" si="22"/>
        <v/>
      </c>
      <c r="W189" s="283" t="str">
        <f t="shared" si="20"/>
        <v/>
      </c>
      <c r="X189" s="253"/>
      <c r="Y189" s="253"/>
      <c r="Z189" s="253"/>
      <c r="AA189" s="253"/>
      <c r="AB189" s="253"/>
      <c r="AC189" s="253"/>
      <c r="AD189" s="253"/>
      <c r="AE189" s="253"/>
      <c r="AF189" s="253"/>
      <c r="AG189" s="253"/>
      <c r="AH189" s="253"/>
      <c r="AI189" s="253"/>
      <c r="AJ189" s="253"/>
      <c r="AK189" s="253"/>
      <c r="AL189" s="253"/>
      <c r="AM189" s="253"/>
      <c r="AN189" s="253"/>
      <c r="AO189" s="253"/>
      <c r="AP189" s="253"/>
      <c r="AQ189" s="253"/>
      <c r="AR189" s="253"/>
      <c r="AS189" s="253"/>
      <c r="AT189" s="253"/>
      <c r="AU189" s="253"/>
      <c r="AV189" s="239"/>
    </row>
    <row r="190" spans="2:48" ht="19.5" customHeight="1" x14ac:dyDescent="0.25">
      <c r="B190" s="61"/>
      <c r="C190" s="61"/>
      <c r="D190" s="61"/>
      <c r="E190" s="61"/>
      <c r="F190" s="61"/>
      <c r="I190" s="83">
        <v>175</v>
      </c>
      <c r="J190" s="255" t="str">
        <f>IF(I190&lt;=MAX(Forest_data[Age]),I190,"")</f>
        <v/>
      </c>
      <c r="K190" s="256" t="str">
        <f>IF(ISNUMBER(J190),LOOKUP(J190, Forest_data[[#All],[Age]],Forest_data[[#All],[Number of trees per ha]]),"")</f>
        <v/>
      </c>
      <c r="L190" s="257" t="str">
        <f>IF(ISNUMBER(J190),IF(ISNA(VLOOKUP(J190,Forest_data[#All],3,FALSE)),#N/A, VLOOKUP(J190,Forest_data[#All],3,FALSE)),"")</f>
        <v/>
      </c>
      <c r="M190" s="257" t="str">
        <f>IF(ISNUMBER(J190),IF(ISNA(VLOOKUP(J190,Forest_data[#All],4,FALSE)),#N/A, VLOOKUP(J190,Forest_data[#All],4,FALSE)),"")</f>
        <v/>
      </c>
      <c r="N190" s="257" t="str">
        <f>IF(ISNUMBER(J190),IF(ISNA(VLOOKUP(J190,Forest_data[#All],5,FALSE)),#N/A, VLOOKUP(J190,Forest_data[#All],5,FALSE)),"")</f>
        <v/>
      </c>
      <c r="O190" s="257" t="str">
        <f>IF(ISNUMBER(J190),IF(ISNA(VLOOKUP(J190,Forest_data[#All],6,FALSE)),#N/A, VLOOKUP(J190,Forest_data[#All],6,FALSE)),"")</f>
        <v/>
      </c>
      <c r="P190" s="257" t="str">
        <f t="shared" si="23"/>
        <v/>
      </c>
      <c r="Q190" s="257" t="str">
        <f t="shared" si="16"/>
        <v/>
      </c>
      <c r="R190" s="257" t="str">
        <f t="shared" si="21"/>
        <v/>
      </c>
      <c r="S190" s="283" t="str">
        <f t="shared" si="17"/>
        <v/>
      </c>
      <c r="T190" s="258" t="str">
        <f t="shared" si="18"/>
        <v/>
      </c>
      <c r="U190" s="257" t="str">
        <f t="shared" si="19"/>
        <v/>
      </c>
      <c r="V190" s="257" t="str">
        <f t="shared" si="22"/>
        <v/>
      </c>
      <c r="W190" s="283" t="str">
        <f t="shared" si="20"/>
        <v/>
      </c>
      <c r="X190" s="253"/>
      <c r="Y190" s="253"/>
      <c r="Z190" s="253"/>
      <c r="AA190" s="253"/>
      <c r="AB190" s="253"/>
      <c r="AC190" s="253"/>
      <c r="AD190" s="253"/>
      <c r="AE190" s="253"/>
      <c r="AF190" s="253"/>
      <c r="AG190" s="253"/>
      <c r="AH190" s="253"/>
      <c r="AI190" s="253"/>
      <c r="AJ190" s="253"/>
      <c r="AK190" s="253"/>
      <c r="AL190" s="253"/>
      <c r="AM190" s="253"/>
      <c r="AN190" s="253"/>
      <c r="AO190" s="253"/>
      <c r="AP190" s="253"/>
      <c r="AQ190" s="253"/>
      <c r="AR190" s="253"/>
      <c r="AS190" s="253"/>
      <c r="AT190" s="253"/>
      <c r="AU190" s="253"/>
      <c r="AV190" s="239"/>
    </row>
    <row r="191" spans="2:48" ht="19.5" customHeight="1" x14ac:dyDescent="0.25">
      <c r="B191" s="61"/>
      <c r="C191" s="61"/>
      <c r="D191" s="61"/>
      <c r="E191" s="61"/>
      <c r="F191" s="61"/>
      <c r="I191" s="260">
        <v>176</v>
      </c>
      <c r="J191" s="255" t="str">
        <f>IF(I191&lt;=MAX(Forest_data[Age]),I191,"")</f>
        <v/>
      </c>
      <c r="K191" s="256" t="str">
        <f>IF(ISNUMBER(J191),LOOKUP(J191, Forest_data[[#All],[Age]],Forest_data[[#All],[Number of trees per ha]]),"")</f>
        <v/>
      </c>
      <c r="L191" s="257" t="str">
        <f>IF(ISNUMBER(J191),IF(ISNA(VLOOKUP(J191,Forest_data[#All],3,FALSE)),#N/A, VLOOKUP(J191,Forest_data[#All],3,FALSE)),"")</f>
        <v/>
      </c>
      <c r="M191" s="257" t="str">
        <f>IF(ISNUMBER(J191),IF(ISNA(VLOOKUP(J191,Forest_data[#All],4,FALSE)),#N/A, VLOOKUP(J191,Forest_data[#All],4,FALSE)),"")</f>
        <v/>
      </c>
      <c r="N191" s="257" t="str">
        <f>IF(ISNUMBER(J191),IF(ISNA(VLOOKUP(J191,Forest_data[#All],5,FALSE)),#N/A, VLOOKUP(J191,Forest_data[#All],5,FALSE)),"")</f>
        <v/>
      </c>
      <c r="O191" s="257" t="str">
        <f>IF(ISNUMBER(J191),IF(ISNA(VLOOKUP(J191,Forest_data[#All],6,FALSE)),#N/A, VLOOKUP(J191,Forest_data[#All],6,FALSE)),"")</f>
        <v/>
      </c>
      <c r="P191" s="257" t="str">
        <f t="shared" si="23"/>
        <v/>
      </c>
      <c r="Q191" s="257" t="str">
        <f t="shared" si="16"/>
        <v/>
      </c>
      <c r="R191" s="257" t="str">
        <f t="shared" si="21"/>
        <v/>
      </c>
      <c r="S191" s="283" t="str">
        <f t="shared" si="17"/>
        <v/>
      </c>
      <c r="T191" s="258" t="str">
        <f t="shared" si="18"/>
        <v/>
      </c>
      <c r="U191" s="257" t="str">
        <f t="shared" si="19"/>
        <v/>
      </c>
      <c r="V191" s="257" t="str">
        <f t="shared" si="22"/>
        <v/>
      </c>
      <c r="W191" s="283" t="str">
        <f t="shared" si="20"/>
        <v/>
      </c>
      <c r="X191" s="253"/>
      <c r="Y191" s="253"/>
      <c r="Z191" s="253"/>
      <c r="AA191" s="253"/>
      <c r="AB191" s="253"/>
      <c r="AC191" s="253"/>
      <c r="AD191" s="253"/>
      <c r="AE191" s="253"/>
      <c r="AF191" s="253"/>
      <c r="AG191" s="253"/>
      <c r="AH191" s="253"/>
      <c r="AI191" s="253"/>
      <c r="AJ191" s="253"/>
      <c r="AK191" s="253"/>
      <c r="AL191" s="253"/>
      <c r="AM191" s="253"/>
      <c r="AN191" s="253"/>
      <c r="AO191" s="253"/>
      <c r="AP191" s="253"/>
      <c r="AQ191" s="253"/>
      <c r="AR191" s="253"/>
      <c r="AS191" s="253"/>
      <c r="AT191" s="253"/>
      <c r="AU191" s="253"/>
      <c r="AV191" s="239"/>
    </row>
    <row r="192" spans="2:48" ht="19.5" customHeight="1" x14ac:dyDescent="0.25">
      <c r="B192" s="61"/>
      <c r="C192" s="61"/>
      <c r="D192" s="61"/>
      <c r="E192" s="61"/>
      <c r="F192" s="61"/>
      <c r="I192" s="83">
        <v>177</v>
      </c>
      <c r="J192" s="255" t="str">
        <f>IF(I192&lt;=MAX(Forest_data[Age]),I192,"")</f>
        <v/>
      </c>
      <c r="K192" s="256" t="str">
        <f>IF(ISNUMBER(J192),LOOKUP(J192, Forest_data[[#All],[Age]],Forest_data[[#All],[Number of trees per ha]]),"")</f>
        <v/>
      </c>
      <c r="L192" s="257" t="str">
        <f>IF(ISNUMBER(J192),IF(ISNA(VLOOKUP(J192,Forest_data[#All],3,FALSE)),#N/A, VLOOKUP(J192,Forest_data[#All],3,FALSE)),"")</f>
        <v/>
      </c>
      <c r="M192" s="257" t="str">
        <f>IF(ISNUMBER(J192),IF(ISNA(VLOOKUP(J192,Forest_data[#All],4,FALSE)),#N/A, VLOOKUP(J192,Forest_data[#All],4,FALSE)),"")</f>
        <v/>
      </c>
      <c r="N192" s="257" t="str">
        <f>IF(ISNUMBER(J192),IF(ISNA(VLOOKUP(J192,Forest_data[#All],5,FALSE)),#N/A, VLOOKUP(J192,Forest_data[#All],5,FALSE)),"")</f>
        <v/>
      </c>
      <c r="O192" s="257" t="str">
        <f>IF(ISNUMBER(J192),IF(ISNA(VLOOKUP(J192,Forest_data[#All],6,FALSE)),#N/A, VLOOKUP(J192,Forest_data[#All],6,FALSE)),"")</f>
        <v/>
      </c>
      <c r="P192" s="257" t="str">
        <f t="shared" si="23"/>
        <v/>
      </c>
      <c r="Q192" s="257" t="str">
        <f t="shared" si="16"/>
        <v/>
      </c>
      <c r="R192" s="257" t="str">
        <f t="shared" si="21"/>
        <v/>
      </c>
      <c r="S192" s="283" t="str">
        <f t="shared" si="17"/>
        <v/>
      </c>
      <c r="T192" s="258" t="str">
        <f t="shared" si="18"/>
        <v/>
      </c>
      <c r="U192" s="257" t="str">
        <f t="shared" si="19"/>
        <v/>
      </c>
      <c r="V192" s="257" t="str">
        <f t="shared" si="22"/>
        <v/>
      </c>
      <c r="W192" s="283" t="str">
        <f t="shared" si="20"/>
        <v/>
      </c>
      <c r="X192" s="253"/>
      <c r="Y192" s="253"/>
      <c r="Z192" s="253"/>
      <c r="AA192" s="253"/>
      <c r="AB192" s="253"/>
      <c r="AC192" s="253"/>
      <c r="AD192" s="253"/>
      <c r="AE192" s="253"/>
      <c r="AF192" s="253"/>
      <c r="AG192" s="253"/>
      <c r="AH192" s="253"/>
      <c r="AI192" s="253"/>
      <c r="AJ192" s="253"/>
      <c r="AK192" s="253"/>
      <c r="AL192" s="253"/>
      <c r="AM192" s="253"/>
      <c r="AN192" s="253"/>
      <c r="AO192" s="253"/>
      <c r="AP192" s="253"/>
      <c r="AQ192" s="253"/>
      <c r="AR192" s="253"/>
      <c r="AS192" s="253"/>
      <c r="AT192" s="253"/>
      <c r="AU192" s="253"/>
      <c r="AV192" s="239"/>
    </row>
    <row r="193" spans="2:48" ht="19.5" customHeight="1" x14ac:dyDescent="0.25">
      <c r="B193" s="61"/>
      <c r="C193" s="61"/>
      <c r="D193" s="61"/>
      <c r="E193" s="61"/>
      <c r="F193" s="61"/>
      <c r="I193" s="83">
        <v>178</v>
      </c>
      <c r="J193" s="255" t="str">
        <f>IF(I193&lt;=MAX(Forest_data[Age]),I193,"")</f>
        <v/>
      </c>
      <c r="K193" s="256" t="str">
        <f>IF(ISNUMBER(J193),LOOKUP(J193, Forest_data[[#All],[Age]],Forest_data[[#All],[Number of trees per ha]]),"")</f>
        <v/>
      </c>
      <c r="L193" s="257" t="str">
        <f>IF(ISNUMBER(J193),IF(ISNA(VLOOKUP(J193,Forest_data[#All],3,FALSE)),#N/A, VLOOKUP(J193,Forest_data[#All],3,FALSE)),"")</f>
        <v/>
      </c>
      <c r="M193" s="257" t="str">
        <f>IF(ISNUMBER(J193),IF(ISNA(VLOOKUP(J193,Forest_data[#All],4,FALSE)),#N/A, VLOOKUP(J193,Forest_data[#All],4,FALSE)),"")</f>
        <v/>
      </c>
      <c r="N193" s="257" t="str">
        <f>IF(ISNUMBER(J193),IF(ISNA(VLOOKUP(J193,Forest_data[#All],5,FALSE)),#N/A, VLOOKUP(J193,Forest_data[#All],5,FALSE)),"")</f>
        <v/>
      </c>
      <c r="O193" s="257" t="str">
        <f>IF(ISNUMBER(J193),IF(ISNA(VLOOKUP(J193,Forest_data[#All],6,FALSE)),#N/A, VLOOKUP(J193,Forest_data[#All],6,FALSE)),"")</f>
        <v/>
      </c>
      <c r="P193" s="257" t="str">
        <f t="shared" si="23"/>
        <v/>
      </c>
      <c r="Q193" s="257" t="str">
        <f t="shared" si="16"/>
        <v/>
      </c>
      <c r="R193" s="257" t="str">
        <f t="shared" si="21"/>
        <v/>
      </c>
      <c r="S193" s="283" t="str">
        <f t="shared" si="17"/>
        <v/>
      </c>
      <c r="T193" s="258" t="str">
        <f t="shared" si="18"/>
        <v/>
      </c>
      <c r="U193" s="257" t="str">
        <f t="shared" si="19"/>
        <v/>
      </c>
      <c r="V193" s="257" t="str">
        <f t="shared" si="22"/>
        <v/>
      </c>
      <c r="W193" s="283" t="str">
        <f t="shared" si="20"/>
        <v/>
      </c>
      <c r="X193" s="253"/>
      <c r="Y193" s="253"/>
      <c r="Z193" s="253"/>
      <c r="AA193" s="253"/>
      <c r="AB193" s="253"/>
      <c r="AC193" s="253"/>
      <c r="AD193" s="253"/>
      <c r="AE193" s="253"/>
      <c r="AF193" s="253"/>
      <c r="AG193" s="253"/>
      <c r="AH193" s="253"/>
      <c r="AI193" s="253"/>
      <c r="AJ193" s="253"/>
      <c r="AK193" s="253"/>
      <c r="AL193" s="253"/>
      <c r="AM193" s="253"/>
      <c r="AN193" s="253"/>
      <c r="AO193" s="253"/>
      <c r="AP193" s="253"/>
      <c r="AQ193" s="253"/>
      <c r="AR193" s="253"/>
      <c r="AS193" s="253"/>
      <c r="AT193" s="253"/>
      <c r="AU193" s="253"/>
      <c r="AV193" s="239"/>
    </row>
    <row r="194" spans="2:48" ht="19.5" customHeight="1" x14ac:dyDescent="0.25">
      <c r="B194" s="61"/>
      <c r="C194" s="61"/>
      <c r="D194" s="61"/>
      <c r="E194" s="61"/>
      <c r="F194" s="61"/>
      <c r="I194" s="83">
        <v>179</v>
      </c>
      <c r="J194" s="255" t="str">
        <f>IF(I194&lt;=MAX(Forest_data[Age]),I194,"")</f>
        <v/>
      </c>
      <c r="K194" s="256" t="str">
        <f>IF(ISNUMBER(J194),LOOKUP(J194, Forest_data[[#All],[Age]],Forest_data[[#All],[Number of trees per ha]]),"")</f>
        <v/>
      </c>
      <c r="L194" s="257" t="str">
        <f>IF(ISNUMBER(J194),IF(ISNA(VLOOKUP(J194,Forest_data[#All],3,FALSE)),#N/A, VLOOKUP(J194,Forest_data[#All],3,FALSE)),"")</f>
        <v/>
      </c>
      <c r="M194" s="257" t="str">
        <f>IF(ISNUMBER(J194),IF(ISNA(VLOOKUP(J194,Forest_data[#All],4,FALSE)),#N/A, VLOOKUP(J194,Forest_data[#All],4,FALSE)),"")</f>
        <v/>
      </c>
      <c r="N194" s="257" t="str">
        <f>IF(ISNUMBER(J194),IF(ISNA(VLOOKUP(J194,Forest_data[#All],5,FALSE)),#N/A, VLOOKUP(J194,Forest_data[#All],5,FALSE)),"")</f>
        <v/>
      </c>
      <c r="O194" s="257" t="str">
        <f>IF(ISNUMBER(J194),IF(ISNA(VLOOKUP(J194,Forest_data[#All],6,FALSE)),#N/A, VLOOKUP(J194,Forest_data[#All],6,FALSE)),"")</f>
        <v/>
      </c>
      <c r="P194" s="257" t="str">
        <f t="shared" si="23"/>
        <v/>
      </c>
      <c r="Q194" s="257" t="str">
        <f t="shared" si="16"/>
        <v/>
      </c>
      <c r="R194" s="257" t="str">
        <f t="shared" si="21"/>
        <v/>
      </c>
      <c r="S194" s="283" t="str">
        <f t="shared" si="17"/>
        <v/>
      </c>
      <c r="T194" s="258" t="str">
        <f t="shared" si="18"/>
        <v/>
      </c>
      <c r="U194" s="257" t="str">
        <f t="shared" si="19"/>
        <v/>
      </c>
      <c r="V194" s="257" t="str">
        <f t="shared" si="22"/>
        <v/>
      </c>
      <c r="W194" s="283" t="str">
        <f t="shared" si="20"/>
        <v/>
      </c>
      <c r="X194" s="253"/>
      <c r="Y194" s="253"/>
      <c r="Z194" s="253"/>
      <c r="AA194" s="253"/>
      <c r="AB194" s="253"/>
      <c r="AC194" s="253"/>
      <c r="AD194" s="253"/>
      <c r="AE194" s="253"/>
      <c r="AF194" s="253"/>
      <c r="AG194" s="253"/>
      <c r="AH194" s="253"/>
      <c r="AI194" s="253"/>
      <c r="AJ194" s="253"/>
      <c r="AK194" s="253"/>
      <c r="AL194" s="253"/>
      <c r="AM194" s="253"/>
      <c r="AN194" s="253"/>
      <c r="AO194" s="253"/>
      <c r="AP194" s="253"/>
      <c r="AQ194" s="253"/>
      <c r="AR194" s="253"/>
      <c r="AS194" s="253"/>
      <c r="AT194" s="253"/>
      <c r="AU194" s="253"/>
      <c r="AV194" s="239"/>
    </row>
    <row r="195" spans="2:48" ht="19.5" customHeight="1" x14ac:dyDescent="0.25">
      <c r="B195" s="61"/>
      <c r="C195" s="61"/>
      <c r="D195" s="61"/>
      <c r="E195" s="61"/>
      <c r="F195" s="61"/>
      <c r="I195" s="260">
        <v>180</v>
      </c>
      <c r="J195" s="255" t="str">
        <f>IF(I195&lt;=MAX(Forest_data[Age]),I195,"")</f>
        <v/>
      </c>
      <c r="K195" s="256" t="str">
        <f>IF(ISNUMBER(J195),LOOKUP(J195, Forest_data[[#All],[Age]],Forest_data[[#All],[Number of trees per ha]]),"")</f>
        <v/>
      </c>
      <c r="L195" s="257" t="str">
        <f>IF(ISNUMBER(J195),IF(ISNA(VLOOKUP(J195,Forest_data[#All],3,FALSE)),#N/A, VLOOKUP(J195,Forest_data[#All],3,FALSE)),"")</f>
        <v/>
      </c>
      <c r="M195" s="257" t="str">
        <f>IF(ISNUMBER(J195),IF(ISNA(VLOOKUP(J195,Forest_data[#All],4,FALSE)),#N/A, VLOOKUP(J195,Forest_data[#All],4,FALSE)),"")</f>
        <v/>
      </c>
      <c r="N195" s="257" t="str">
        <f>IF(ISNUMBER(J195),IF(ISNA(VLOOKUP(J195,Forest_data[#All],5,FALSE)),#N/A, VLOOKUP(J195,Forest_data[#All],5,FALSE)),"")</f>
        <v/>
      </c>
      <c r="O195" s="257" t="str">
        <f>IF(ISNUMBER(J195),IF(ISNA(VLOOKUP(J195,Forest_data[#All],6,FALSE)),#N/A, VLOOKUP(J195,Forest_data[#All],6,FALSE)),"")</f>
        <v/>
      </c>
      <c r="P195" s="257" t="str">
        <f t="shared" si="23"/>
        <v/>
      </c>
      <c r="Q195" s="257" t="str">
        <f t="shared" si="16"/>
        <v/>
      </c>
      <c r="R195" s="257" t="str">
        <f t="shared" si="21"/>
        <v/>
      </c>
      <c r="S195" s="283" t="str">
        <f t="shared" si="17"/>
        <v/>
      </c>
      <c r="T195" s="258" t="str">
        <f t="shared" si="18"/>
        <v/>
      </c>
      <c r="U195" s="257" t="str">
        <f t="shared" si="19"/>
        <v/>
      </c>
      <c r="V195" s="257" t="str">
        <f t="shared" si="22"/>
        <v/>
      </c>
      <c r="W195" s="283" t="str">
        <f t="shared" si="20"/>
        <v/>
      </c>
      <c r="X195" s="253"/>
      <c r="Y195" s="253"/>
      <c r="Z195" s="253"/>
      <c r="AA195" s="253"/>
      <c r="AB195" s="253"/>
      <c r="AC195" s="253"/>
      <c r="AD195" s="253"/>
      <c r="AE195" s="253"/>
      <c r="AF195" s="253"/>
      <c r="AG195" s="253"/>
      <c r="AH195" s="253"/>
      <c r="AI195" s="253"/>
      <c r="AJ195" s="253"/>
      <c r="AK195" s="253"/>
      <c r="AL195" s="253"/>
      <c r="AM195" s="253"/>
      <c r="AN195" s="253"/>
      <c r="AO195" s="253"/>
      <c r="AP195" s="253"/>
      <c r="AQ195" s="253"/>
      <c r="AR195" s="253"/>
      <c r="AS195" s="253"/>
      <c r="AT195" s="253"/>
      <c r="AU195" s="253"/>
      <c r="AV195" s="239"/>
    </row>
    <row r="196" spans="2:48" ht="19.5" customHeight="1" x14ac:dyDescent="0.25">
      <c r="B196" s="61"/>
      <c r="C196" s="61"/>
      <c r="D196" s="61"/>
      <c r="E196" s="61"/>
      <c r="F196" s="61"/>
      <c r="I196" s="83">
        <v>181</v>
      </c>
      <c r="J196" s="255" t="str">
        <f>IF(I196&lt;=MAX(Forest_data[Age]),I196,"")</f>
        <v/>
      </c>
      <c r="K196" s="256" t="str">
        <f>IF(ISNUMBER(J196),LOOKUP(J196, Forest_data[[#All],[Age]],Forest_data[[#All],[Number of trees per ha]]),"")</f>
        <v/>
      </c>
      <c r="L196" s="257" t="str">
        <f>IF(ISNUMBER(J196),IF(ISNA(VLOOKUP(J196,Forest_data[#All],3,FALSE)),#N/A, VLOOKUP(J196,Forest_data[#All],3,FALSE)),"")</f>
        <v/>
      </c>
      <c r="M196" s="257" t="str">
        <f>IF(ISNUMBER(J196),IF(ISNA(VLOOKUP(J196,Forest_data[#All],4,FALSE)),#N/A, VLOOKUP(J196,Forest_data[#All],4,FALSE)),"")</f>
        <v/>
      </c>
      <c r="N196" s="257" t="str">
        <f>IF(ISNUMBER(J196),IF(ISNA(VLOOKUP(J196,Forest_data[#All],5,FALSE)),#N/A, VLOOKUP(J196,Forest_data[#All],5,FALSE)),"")</f>
        <v/>
      </c>
      <c r="O196" s="257" t="str">
        <f>IF(ISNUMBER(J196),IF(ISNA(VLOOKUP(J196,Forest_data[#All],6,FALSE)),#N/A, VLOOKUP(J196,Forest_data[#All],6,FALSE)),"")</f>
        <v/>
      </c>
      <c r="P196" s="257" t="str">
        <f t="shared" si="23"/>
        <v/>
      </c>
      <c r="Q196" s="257" t="str">
        <f t="shared" si="16"/>
        <v/>
      </c>
      <c r="R196" s="257" t="str">
        <f t="shared" si="21"/>
        <v/>
      </c>
      <c r="S196" s="283" t="str">
        <f t="shared" si="17"/>
        <v/>
      </c>
      <c r="T196" s="258" t="str">
        <f t="shared" si="18"/>
        <v/>
      </c>
      <c r="U196" s="257" t="str">
        <f t="shared" si="19"/>
        <v/>
      </c>
      <c r="V196" s="257" t="str">
        <f t="shared" si="22"/>
        <v/>
      </c>
      <c r="W196" s="283" t="str">
        <f t="shared" si="20"/>
        <v/>
      </c>
      <c r="X196" s="253"/>
      <c r="Y196" s="253"/>
      <c r="Z196" s="253"/>
      <c r="AA196" s="253"/>
      <c r="AB196" s="253"/>
      <c r="AC196" s="253"/>
      <c r="AD196" s="253"/>
      <c r="AE196" s="253"/>
      <c r="AF196" s="253"/>
      <c r="AG196" s="253"/>
      <c r="AH196" s="253"/>
      <c r="AI196" s="253"/>
      <c r="AJ196" s="253"/>
      <c r="AK196" s="253"/>
      <c r="AL196" s="253"/>
      <c r="AM196" s="253"/>
      <c r="AN196" s="253"/>
      <c r="AO196" s="253"/>
      <c r="AP196" s="253"/>
      <c r="AQ196" s="253"/>
      <c r="AR196" s="253"/>
      <c r="AS196" s="253"/>
      <c r="AT196" s="253"/>
      <c r="AU196" s="253"/>
      <c r="AV196" s="239"/>
    </row>
    <row r="197" spans="2:48" ht="19.5" customHeight="1" x14ac:dyDescent="0.25">
      <c r="B197" s="61"/>
      <c r="C197" s="61"/>
      <c r="D197" s="61"/>
      <c r="E197" s="61"/>
      <c r="F197" s="61"/>
      <c r="I197" s="83">
        <v>182</v>
      </c>
      <c r="J197" s="255" t="str">
        <f>IF(I197&lt;=MAX(Forest_data[Age]),I197,"")</f>
        <v/>
      </c>
      <c r="K197" s="256" t="str">
        <f>IF(ISNUMBER(J197),LOOKUP(J197, Forest_data[[#All],[Age]],Forest_data[[#All],[Number of trees per ha]]),"")</f>
        <v/>
      </c>
      <c r="L197" s="257" t="str">
        <f>IF(ISNUMBER(J197),IF(ISNA(VLOOKUP(J197,Forest_data[#All],3,FALSE)),#N/A, VLOOKUP(J197,Forest_data[#All],3,FALSE)),"")</f>
        <v/>
      </c>
      <c r="M197" s="257" t="str">
        <f>IF(ISNUMBER(J197),IF(ISNA(VLOOKUP(J197,Forest_data[#All],4,FALSE)),#N/A, VLOOKUP(J197,Forest_data[#All],4,FALSE)),"")</f>
        <v/>
      </c>
      <c r="N197" s="257" t="str">
        <f>IF(ISNUMBER(J197),IF(ISNA(VLOOKUP(J197,Forest_data[#All],5,FALSE)),#N/A, VLOOKUP(J197,Forest_data[#All],5,FALSE)),"")</f>
        <v/>
      </c>
      <c r="O197" s="257" t="str">
        <f>IF(ISNUMBER(J197),IF(ISNA(VLOOKUP(J197,Forest_data[#All],6,FALSE)),#N/A, VLOOKUP(J197,Forest_data[#All],6,FALSE)),"")</f>
        <v/>
      </c>
      <c r="P197" s="257" t="str">
        <f t="shared" si="23"/>
        <v/>
      </c>
      <c r="Q197" s="257" t="str">
        <f t="shared" si="16"/>
        <v/>
      </c>
      <c r="R197" s="257" t="str">
        <f t="shared" si="21"/>
        <v/>
      </c>
      <c r="S197" s="283" t="str">
        <f t="shared" si="17"/>
        <v/>
      </c>
      <c r="T197" s="258" t="str">
        <f t="shared" si="18"/>
        <v/>
      </c>
      <c r="U197" s="257" t="str">
        <f t="shared" si="19"/>
        <v/>
      </c>
      <c r="V197" s="257" t="str">
        <f t="shared" si="22"/>
        <v/>
      </c>
      <c r="W197" s="283" t="str">
        <f t="shared" si="20"/>
        <v/>
      </c>
      <c r="X197" s="253"/>
      <c r="Y197" s="253"/>
      <c r="Z197" s="253"/>
      <c r="AA197" s="253"/>
      <c r="AB197" s="253"/>
      <c r="AC197" s="253"/>
      <c r="AD197" s="253"/>
      <c r="AE197" s="253"/>
      <c r="AF197" s="253"/>
      <c r="AG197" s="253"/>
      <c r="AH197" s="253"/>
      <c r="AI197" s="253"/>
      <c r="AJ197" s="253"/>
      <c r="AK197" s="253"/>
      <c r="AL197" s="253"/>
      <c r="AM197" s="253"/>
      <c r="AN197" s="253"/>
      <c r="AO197" s="253"/>
      <c r="AP197" s="253"/>
      <c r="AQ197" s="253"/>
      <c r="AR197" s="253"/>
      <c r="AS197" s="253"/>
      <c r="AT197" s="253"/>
      <c r="AU197" s="253"/>
      <c r="AV197" s="239"/>
    </row>
    <row r="198" spans="2:48" ht="19.5" customHeight="1" x14ac:dyDescent="0.25">
      <c r="B198" s="61"/>
      <c r="C198" s="61"/>
      <c r="D198" s="61"/>
      <c r="E198" s="61"/>
      <c r="F198" s="61"/>
      <c r="I198" s="83">
        <v>183</v>
      </c>
      <c r="J198" s="255" t="str">
        <f>IF(I198&lt;=MAX(Forest_data[Age]),I198,"")</f>
        <v/>
      </c>
      <c r="K198" s="256" t="str">
        <f>IF(ISNUMBER(J198),LOOKUP(J198, Forest_data[[#All],[Age]],Forest_data[[#All],[Number of trees per ha]]),"")</f>
        <v/>
      </c>
      <c r="L198" s="257" t="str">
        <f>IF(ISNUMBER(J198),IF(ISNA(VLOOKUP(J198,Forest_data[#All],3,FALSE)),#N/A, VLOOKUP(J198,Forest_data[#All],3,FALSE)),"")</f>
        <v/>
      </c>
      <c r="M198" s="257" t="str">
        <f>IF(ISNUMBER(J198),IF(ISNA(VLOOKUP(J198,Forest_data[#All],4,FALSE)),#N/A, VLOOKUP(J198,Forest_data[#All],4,FALSE)),"")</f>
        <v/>
      </c>
      <c r="N198" s="257" t="str">
        <f>IF(ISNUMBER(J198),IF(ISNA(VLOOKUP(J198,Forest_data[#All],5,FALSE)),#N/A, VLOOKUP(J198,Forest_data[#All],5,FALSE)),"")</f>
        <v/>
      </c>
      <c r="O198" s="257" t="str">
        <f>IF(ISNUMBER(J198),IF(ISNA(VLOOKUP(J198,Forest_data[#All],6,FALSE)),#N/A, VLOOKUP(J198,Forest_data[#All],6,FALSE)),"")</f>
        <v/>
      </c>
      <c r="P198" s="257" t="str">
        <f t="shared" si="23"/>
        <v/>
      </c>
      <c r="Q198" s="257" t="str">
        <f t="shared" si="16"/>
        <v/>
      </c>
      <c r="R198" s="257" t="str">
        <f t="shared" si="21"/>
        <v/>
      </c>
      <c r="S198" s="283" t="str">
        <f t="shared" si="17"/>
        <v/>
      </c>
      <c r="T198" s="258" t="str">
        <f t="shared" si="18"/>
        <v/>
      </c>
      <c r="U198" s="257" t="str">
        <f t="shared" si="19"/>
        <v/>
      </c>
      <c r="V198" s="257" t="str">
        <f t="shared" si="22"/>
        <v/>
      </c>
      <c r="W198" s="283" t="str">
        <f t="shared" si="20"/>
        <v/>
      </c>
      <c r="X198" s="253"/>
      <c r="Y198" s="253"/>
      <c r="Z198" s="253"/>
      <c r="AA198" s="253"/>
      <c r="AB198" s="253"/>
      <c r="AC198" s="253"/>
      <c r="AD198" s="253"/>
      <c r="AE198" s="253"/>
      <c r="AF198" s="253"/>
      <c r="AG198" s="253"/>
      <c r="AH198" s="253"/>
      <c r="AI198" s="253"/>
      <c r="AJ198" s="253"/>
      <c r="AK198" s="253"/>
      <c r="AL198" s="253"/>
      <c r="AM198" s="253"/>
      <c r="AN198" s="253"/>
      <c r="AO198" s="253"/>
      <c r="AP198" s="253"/>
      <c r="AQ198" s="253"/>
      <c r="AR198" s="253"/>
      <c r="AS198" s="253"/>
      <c r="AT198" s="253"/>
      <c r="AU198" s="253"/>
      <c r="AV198" s="239"/>
    </row>
    <row r="199" spans="2:48" ht="19.5" customHeight="1" x14ac:dyDescent="0.25">
      <c r="B199" s="61"/>
      <c r="C199" s="61"/>
      <c r="D199" s="61"/>
      <c r="E199" s="61"/>
      <c r="F199" s="61"/>
      <c r="I199" s="260">
        <v>184</v>
      </c>
      <c r="J199" s="255" t="str">
        <f>IF(I199&lt;=MAX(Forest_data[Age]),I199,"")</f>
        <v/>
      </c>
      <c r="K199" s="256" t="str">
        <f>IF(ISNUMBER(J199),LOOKUP(J199, Forest_data[[#All],[Age]],Forest_data[[#All],[Number of trees per ha]]),"")</f>
        <v/>
      </c>
      <c r="L199" s="257" t="str">
        <f>IF(ISNUMBER(J199),IF(ISNA(VLOOKUP(J199,Forest_data[#All],3,FALSE)),#N/A, VLOOKUP(J199,Forest_data[#All],3,FALSE)),"")</f>
        <v/>
      </c>
      <c r="M199" s="257" t="str">
        <f>IF(ISNUMBER(J199),IF(ISNA(VLOOKUP(J199,Forest_data[#All],4,FALSE)),#N/A, VLOOKUP(J199,Forest_data[#All],4,FALSE)),"")</f>
        <v/>
      </c>
      <c r="N199" s="257" t="str">
        <f>IF(ISNUMBER(J199),IF(ISNA(VLOOKUP(J199,Forest_data[#All],5,FALSE)),#N/A, VLOOKUP(J199,Forest_data[#All],5,FALSE)),"")</f>
        <v/>
      </c>
      <c r="O199" s="257" t="str">
        <f>IF(ISNUMBER(J199),IF(ISNA(VLOOKUP(J199,Forest_data[#All],6,FALSE)),#N/A, VLOOKUP(J199,Forest_data[#All],6,FALSE)),"")</f>
        <v/>
      </c>
      <c r="P199" s="257" t="str">
        <f t="shared" si="23"/>
        <v/>
      </c>
      <c r="Q199" s="257" t="str">
        <f t="shared" si="16"/>
        <v/>
      </c>
      <c r="R199" s="257" t="str">
        <f t="shared" si="21"/>
        <v/>
      </c>
      <c r="S199" s="283" t="str">
        <f t="shared" si="17"/>
        <v/>
      </c>
      <c r="T199" s="258" t="str">
        <f t="shared" si="18"/>
        <v/>
      </c>
      <c r="U199" s="257" t="str">
        <f t="shared" si="19"/>
        <v/>
      </c>
      <c r="V199" s="257" t="str">
        <f t="shared" si="22"/>
        <v/>
      </c>
      <c r="W199" s="283" t="str">
        <f t="shared" si="20"/>
        <v/>
      </c>
      <c r="X199" s="253"/>
      <c r="Y199" s="253"/>
      <c r="Z199" s="253"/>
      <c r="AA199" s="253"/>
      <c r="AB199" s="253"/>
      <c r="AC199" s="253"/>
      <c r="AD199" s="253"/>
      <c r="AE199" s="253"/>
      <c r="AF199" s="253"/>
      <c r="AG199" s="253"/>
      <c r="AH199" s="253"/>
      <c r="AI199" s="253"/>
      <c r="AJ199" s="253"/>
      <c r="AK199" s="253"/>
      <c r="AL199" s="253"/>
      <c r="AM199" s="253"/>
      <c r="AN199" s="253"/>
      <c r="AO199" s="253"/>
      <c r="AP199" s="253"/>
      <c r="AQ199" s="253"/>
      <c r="AR199" s="253"/>
      <c r="AS199" s="253"/>
      <c r="AT199" s="253"/>
      <c r="AU199" s="253"/>
      <c r="AV199" s="239"/>
    </row>
    <row r="200" spans="2:48" ht="19.5" customHeight="1" x14ac:dyDescent="0.25">
      <c r="B200" s="61"/>
      <c r="C200" s="61"/>
      <c r="D200" s="61"/>
      <c r="E200" s="61"/>
      <c r="F200" s="61"/>
      <c r="I200" s="83">
        <v>185</v>
      </c>
      <c r="J200" s="255" t="str">
        <f>IF(I200&lt;=MAX(Forest_data[Age]),I200,"")</f>
        <v/>
      </c>
      <c r="K200" s="256" t="str">
        <f>IF(ISNUMBER(J200),LOOKUP(J200, Forest_data[[#All],[Age]],Forest_data[[#All],[Number of trees per ha]]),"")</f>
        <v/>
      </c>
      <c r="L200" s="257" t="str">
        <f>IF(ISNUMBER(J200),IF(ISNA(VLOOKUP(J200,Forest_data[#All],3,FALSE)),#N/A, VLOOKUP(J200,Forest_data[#All],3,FALSE)),"")</f>
        <v/>
      </c>
      <c r="M200" s="257" t="str">
        <f>IF(ISNUMBER(J200),IF(ISNA(VLOOKUP(J200,Forest_data[#All],4,FALSE)),#N/A, VLOOKUP(J200,Forest_data[#All],4,FALSE)),"")</f>
        <v/>
      </c>
      <c r="N200" s="257" t="str">
        <f>IF(ISNUMBER(J200),IF(ISNA(VLOOKUP(J200,Forest_data[#All],5,FALSE)),#N/A, VLOOKUP(J200,Forest_data[#All],5,FALSE)),"")</f>
        <v/>
      </c>
      <c r="O200" s="257" t="str">
        <f>IF(ISNUMBER(J200),IF(ISNA(VLOOKUP(J200,Forest_data[#All],6,FALSE)),#N/A, VLOOKUP(J200,Forest_data[#All],6,FALSE)),"")</f>
        <v/>
      </c>
      <c r="P200" s="257" t="str">
        <f t="shared" si="23"/>
        <v/>
      </c>
      <c r="Q200" s="257" t="str">
        <f t="shared" si="16"/>
        <v/>
      </c>
      <c r="R200" s="257" t="str">
        <f t="shared" si="21"/>
        <v/>
      </c>
      <c r="S200" s="283" t="str">
        <f t="shared" si="17"/>
        <v/>
      </c>
      <c r="T200" s="258" t="str">
        <f t="shared" si="18"/>
        <v/>
      </c>
      <c r="U200" s="257" t="str">
        <f t="shared" si="19"/>
        <v/>
      </c>
      <c r="V200" s="257" t="str">
        <f t="shared" si="22"/>
        <v/>
      </c>
      <c r="W200" s="283" t="str">
        <f t="shared" si="20"/>
        <v/>
      </c>
      <c r="X200" s="253"/>
      <c r="Y200" s="253"/>
      <c r="Z200" s="253"/>
      <c r="AA200" s="253"/>
      <c r="AB200" s="253"/>
      <c r="AC200" s="253"/>
      <c r="AD200" s="253"/>
      <c r="AE200" s="253"/>
      <c r="AF200" s="253"/>
      <c r="AG200" s="253"/>
      <c r="AH200" s="253"/>
      <c r="AI200" s="253"/>
      <c r="AJ200" s="253"/>
      <c r="AK200" s="253"/>
      <c r="AL200" s="253"/>
      <c r="AM200" s="253"/>
      <c r="AN200" s="253"/>
      <c r="AO200" s="253"/>
      <c r="AP200" s="253"/>
      <c r="AQ200" s="253"/>
      <c r="AR200" s="253"/>
      <c r="AS200" s="253"/>
      <c r="AT200" s="253"/>
      <c r="AU200" s="253"/>
      <c r="AV200" s="239"/>
    </row>
    <row r="201" spans="2:48" ht="19.5" customHeight="1" x14ac:dyDescent="0.25">
      <c r="B201" s="61"/>
      <c r="C201" s="61"/>
      <c r="D201" s="61"/>
      <c r="E201" s="61"/>
      <c r="F201" s="61"/>
      <c r="I201" s="83">
        <v>186</v>
      </c>
      <c r="J201" s="255" t="str">
        <f>IF(I201&lt;=MAX(Forest_data[Age]),I201,"")</f>
        <v/>
      </c>
      <c r="K201" s="256" t="str">
        <f>IF(ISNUMBER(J201),LOOKUP(J201, Forest_data[[#All],[Age]],Forest_data[[#All],[Number of trees per ha]]),"")</f>
        <v/>
      </c>
      <c r="L201" s="257" t="str">
        <f>IF(ISNUMBER(J201),IF(ISNA(VLOOKUP(J201,Forest_data[#All],3,FALSE)),#N/A, VLOOKUP(J201,Forest_data[#All],3,FALSE)),"")</f>
        <v/>
      </c>
      <c r="M201" s="257" t="str">
        <f>IF(ISNUMBER(J201),IF(ISNA(VLOOKUP(J201,Forest_data[#All],4,FALSE)),#N/A, VLOOKUP(J201,Forest_data[#All],4,FALSE)),"")</f>
        <v/>
      </c>
      <c r="N201" s="257" t="str">
        <f>IF(ISNUMBER(J201),IF(ISNA(VLOOKUP(J201,Forest_data[#All],5,FALSE)),#N/A, VLOOKUP(J201,Forest_data[#All],5,FALSE)),"")</f>
        <v/>
      </c>
      <c r="O201" s="257" t="str">
        <f>IF(ISNUMBER(J201),IF(ISNA(VLOOKUP(J201,Forest_data[#All],6,FALSE)),#N/A, VLOOKUP(J201,Forest_data[#All],6,FALSE)),"")</f>
        <v/>
      </c>
      <c r="P201" s="257" t="str">
        <f t="shared" si="23"/>
        <v/>
      </c>
      <c r="Q201" s="257" t="str">
        <f t="shared" si="16"/>
        <v/>
      </c>
      <c r="R201" s="257" t="str">
        <f t="shared" si="21"/>
        <v/>
      </c>
      <c r="S201" s="283" t="str">
        <f t="shared" si="17"/>
        <v/>
      </c>
      <c r="T201" s="258" t="str">
        <f t="shared" si="18"/>
        <v/>
      </c>
      <c r="U201" s="257" t="str">
        <f t="shared" si="19"/>
        <v/>
      </c>
      <c r="V201" s="257" t="str">
        <f t="shared" si="22"/>
        <v/>
      </c>
      <c r="W201" s="283" t="str">
        <f t="shared" si="20"/>
        <v/>
      </c>
      <c r="X201" s="253"/>
      <c r="Y201" s="253"/>
      <c r="Z201" s="253"/>
      <c r="AA201" s="253"/>
      <c r="AB201" s="253"/>
      <c r="AC201" s="253"/>
      <c r="AD201" s="253"/>
      <c r="AE201" s="253"/>
      <c r="AF201" s="253"/>
      <c r="AG201" s="253"/>
      <c r="AH201" s="253"/>
      <c r="AI201" s="253"/>
      <c r="AJ201" s="253"/>
      <c r="AK201" s="253"/>
      <c r="AL201" s="253"/>
      <c r="AM201" s="253"/>
      <c r="AN201" s="253"/>
      <c r="AO201" s="253"/>
      <c r="AP201" s="253"/>
      <c r="AQ201" s="253"/>
      <c r="AR201" s="253"/>
      <c r="AS201" s="253"/>
      <c r="AT201" s="253"/>
      <c r="AU201" s="253"/>
      <c r="AV201" s="239"/>
    </row>
    <row r="202" spans="2:48" ht="19.5" customHeight="1" x14ac:dyDescent="0.25">
      <c r="B202" s="61"/>
      <c r="C202" s="61"/>
      <c r="D202" s="61"/>
      <c r="E202" s="61"/>
      <c r="F202" s="61"/>
      <c r="I202" s="83">
        <v>187</v>
      </c>
      <c r="J202" s="255" t="str">
        <f>IF(I202&lt;=MAX(Forest_data[Age]),I202,"")</f>
        <v/>
      </c>
      <c r="K202" s="256" t="str">
        <f>IF(ISNUMBER(J202),LOOKUP(J202, Forest_data[[#All],[Age]],Forest_data[[#All],[Number of trees per ha]]),"")</f>
        <v/>
      </c>
      <c r="L202" s="257" t="str">
        <f>IF(ISNUMBER(J202),IF(ISNA(VLOOKUP(J202,Forest_data[#All],3,FALSE)),#N/A, VLOOKUP(J202,Forest_data[#All],3,FALSE)),"")</f>
        <v/>
      </c>
      <c r="M202" s="257" t="str">
        <f>IF(ISNUMBER(J202),IF(ISNA(VLOOKUP(J202,Forest_data[#All],4,FALSE)),#N/A, VLOOKUP(J202,Forest_data[#All],4,FALSE)),"")</f>
        <v/>
      </c>
      <c r="N202" s="257" t="str">
        <f>IF(ISNUMBER(J202),IF(ISNA(VLOOKUP(J202,Forest_data[#All],5,FALSE)),#N/A, VLOOKUP(J202,Forest_data[#All],5,FALSE)),"")</f>
        <v/>
      </c>
      <c r="O202" s="257" t="str">
        <f>IF(ISNUMBER(J202),IF(ISNA(VLOOKUP(J202,Forest_data[#All],6,FALSE)),#N/A, VLOOKUP(J202,Forest_data[#All],6,FALSE)),"")</f>
        <v/>
      </c>
      <c r="P202" s="257" t="str">
        <f t="shared" si="23"/>
        <v/>
      </c>
      <c r="Q202" s="257" t="str">
        <f t="shared" si="16"/>
        <v/>
      </c>
      <c r="R202" s="257" t="str">
        <f t="shared" si="21"/>
        <v/>
      </c>
      <c r="S202" s="283" t="str">
        <f t="shared" si="17"/>
        <v/>
      </c>
      <c r="T202" s="258" t="str">
        <f t="shared" si="18"/>
        <v/>
      </c>
      <c r="U202" s="257" t="str">
        <f t="shared" si="19"/>
        <v/>
      </c>
      <c r="V202" s="257" t="str">
        <f t="shared" si="22"/>
        <v/>
      </c>
      <c r="W202" s="283" t="str">
        <f t="shared" si="20"/>
        <v/>
      </c>
      <c r="X202" s="253"/>
      <c r="Y202" s="253"/>
      <c r="Z202" s="253"/>
      <c r="AA202" s="253"/>
      <c r="AB202" s="253"/>
      <c r="AC202" s="253"/>
      <c r="AD202" s="253"/>
      <c r="AE202" s="253"/>
      <c r="AF202" s="253"/>
      <c r="AG202" s="253"/>
      <c r="AH202" s="253"/>
      <c r="AI202" s="253"/>
      <c r="AJ202" s="253"/>
      <c r="AK202" s="253"/>
      <c r="AL202" s="253"/>
      <c r="AM202" s="253"/>
      <c r="AN202" s="253"/>
      <c r="AO202" s="253"/>
      <c r="AP202" s="253"/>
      <c r="AQ202" s="253"/>
      <c r="AR202" s="253"/>
      <c r="AS202" s="253"/>
      <c r="AT202" s="253"/>
      <c r="AU202" s="253"/>
      <c r="AV202" s="239"/>
    </row>
    <row r="203" spans="2:48" ht="19.5" customHeight="1" x14ac:dyDescent="0.25">
      <c r="B203" s="61"/>
      <c r="C203" s="61"/>
      <c r="D203" s="61"/>
      <c r="E203" s="61"/>
      <c r="F203" s="61"/>
      <c r="I203" s="260">
        <v>188</v>
      </c>
      <c r="J203" s="255" t="str">
        <f>IF(I203&lt;=MAX(Forest_data[Age]),I203,"")</f>
        <v/>
      </c>
      <c r="K203" s="256" t="str">
        <f>IF(ISNUMBER(J203),LOOKUP(J203, Forest_data[[#All],[Age]],Forest_data[[#All],[Number of trees per ha]]),"")</f>
        <v/>
      </c>
      <c r="L203" s="257" t="str">
        <f>IF(ISNUMBER(J203),IF(ISNA(VLOOKUP(J203,Forest_data[#All],3,FALSE)),#N/A, VLOOKUP(J203,Forest_data[#All],3,FALSE)),"")</f>
        <v/>
      </c>
      <c r="M203" s="257" t="str">
        <f>IF(ISNUMBER(J203),IF(ISNA(VLOOKUP(J203,Forest_data[#All],4,FALSE)),#N/A, VLOOKUP(J203,Forest_data[#All],4,FALSE)),"")</f>
        <v/>
      </c>
      <c r="N203" s="257" t="str">
        <f>IF(ISNUMBER(J203),IF(ISNA(VLOOKUP(J203,Forest_data[#All],5,FALSE)),#N/A, VLOOKUP(J203,Forest_data[#All],5,FALSE)),"")</f>
        <v/>
      </c>
      <c r="O203" s="257" t="str">
        <f>IF(ISNUMBER(J203),IF(ISNA(VLOOKUP(J203,Forest_data[#All],6,FALSE)),#N/A, VLOOKUP(J203,Forest_data[#All],6,FALSE)),"")</f>
        <v/>
      </c>
      <c r="P203" s="257" t="str">
        <f t="shared" si="23"/>
        <v/>
      </c>
      <c r="Q203" s="257" t="str">
        <f t="shared" si="16"/>
        <v/>
      </c>
      <c r="R203" s="257" t="str">
        <f t="shared" si="21"/>
        <v/>
      </c>
      <c r="S203" s="283" t="str">
        <f t="shared" si="17"/>
        <v/>
      </c>
      <c r="T203" s="258" t="str">
        <f t="shared" si="18"/>
        <v/>
      </c>
      <c r="U203" s="257" t="str">
        <f t="shared" si="19"/>
        <v/>
      </c>
      <c r="V203" s="257" t="str">
        <f t="shared" si="22"/>
        <v/>
      </c>
      <c r="W203" s="283" t="str">
        <f t="shared" si="20"/>
        <v/>
      </c>
      <c r="X203" s="253"/>
      <c r="Y203" s="253"/>
      <c r="Z203" s="253"/>
      <c r="AA203" s="253"/>
      <c r="AB203" s="253"/>
      <c r="AC203" s="253"/>
      <c r="AD203" s="253"/>
      <c r="AE203" s="253"/>
      <c r="AF203" s="253"/>
      <c r="AG203" s="253"/>
      <c r="AH203" s="253"/>
      <c r="AI203" s="253"/>
      <c r="AJ203" s="253"/>
      <c r="AK203" s="253"/>
      <c r="AL203" s="253"/>
      <c r="AM203" s="253"/>
      <c r="AN203" s="253"/>
      <c r="AO203" s="253"/>
      <c r="AP203" s="253"/>
      <c r="AQ203" s="253"/>
      <c r="AR203" s="253"/>
      <c r="AS203" s="253"/>
      <c r="AT203" s="253"/>
      <c r="AU203" s="253"/>
      <c r="AV203" s="239"/>
    </row>
    <row r="204" spans="2:48" ht="19.5" customHeight="1" x14ac:dyDescent="0.25">
      <c r="B204" s="61"/>
      <c r="C204" s="61"/>
      <c r="D204" s="61"/>
      <c r="E204" s="61"/>
      <c r="F204" s="61"/>
      <c r="I204" s="83">
        <v>189</v>
      </c>
      <c r="J204" s="255" t="str">
        <f>IF(I204&lt;=MAX(Forest_data[Age]),I204,"")</f>
        <v/>
      </c>
      <c r="K204" s="256" t="str">
        <f>IF(ISNUMBER(J204),LOOKUP(J204, Forest_data[[#All],[Age]],Forest_data[[#All],[Number of trees per ha]]),"")</f>
        <v/>
      </c>
      <c r="L204" s="257" t="str">
        <f>IF(ISNUMBER(J204),IF(ISNA(VLOOKUP(J204,Forest_data[#All],3,FALSE)),#N/A, VLOOKUP(J204,Forest_data[#All],3,FALSE)),"")</f>
        <v/>
      </c>
      <c r="M204" s="257" t="str">
        <f>IF(ISNUMBER(J204),IF(ISNA(VLOOKUP(J204,Forest_data[#All],4,FALSE)),#N/A, VLOOKUP(J204,Forest_data[#All],4,FALSE)),"")</f>
        <v/>
      </c>
      <c r="N204" s="257" t="str">
        <f>IF(ISNUMBER(J204),IF(ISNA(VLOOKUP(J204,Forest_data[#All],5,FALSE)),#N/A, VLOOKUP(J204,Forest_data[#All],5,FALSE)),"")</f>
        <v/>
      </c>
      <c r="O204" s="257" t="str">
        <f>IF(ISNUMBER(J204),IF(ISNA(VLOOKUP(J204,Forest_data[#All],6,FALSE)),#N/A, VLOOKUP(J204,Forest_data[#All],6,FALSE)),"")</f>
        <v/>
      </c>
      <c r="P204" s="257" t="str">
        <f t="shared" si="23"/>
        <v/>
      </c>
      <c r="Q204" s="257" t="str">
        <f t="shared" si="16"/>
        <v/>
      </c>
      <c r="R204" s="257" t="str">
        <f t="shared" si="21"/>
        <v/>
      </c>
      <c r="S204" s="283" t="str">
        <f t="shared" si="17"/>
        <v/>
      </c>
      <c r="T204" s="258" t="str">
        <f t="shared" si="18"/>
        <v/>
      </c>
      <c r="U204" s="257" t="str">
        <f t="shared" si="19"/>
        <v/>
      </c>
      <c r="V204" s="257" t="str">
        <f t="shared" si="22"/>
        <v/>
      </c>
      <c r="W204" s="283" t="str">
        <f t="shared" si="20"/>
        <v/>
      </c>
      <c r="X204" s="253"/>
      <c r="Y204" s="253"/>
      <c r="Z204" s="253"/>
      <c r="AA204" s="253"/>
      <c r="AB204" s="253"/>
      <c r="AC204" s="253"/>
      <c r="AD204" s="253"/>
      <c r="AE204" s="253"/>
      <c r="AF204" s="253"/>
      <c r="AG204" s="253"/>
      <c r="AH204" s="253"/>
      <c r="AI204" s="253"/>
      <c r="AJ204" s="253"/>
      <c r="AK204" s="253"/>
      <c r="AL204" s="253"/>
      <c r="AM204" s="253"/>
      <c r="AN204" s="253"/>
      <c r="AO204" s="253"/>
      <c r="AP204" s="253"/>
      <c r="AQ204" s="253"/>
      <c r="AR204" s="253"/>
      <c r="AS204" s="253"/>
      <c r="AT204" s="253"/>
      <c r="AU204" s="253"/>
      <c r="AV204" s="239"/>
    </row>
    <row r="205" spans="2:48" ht="19.5" customHeight="1" x14ac:dyDescent="0.25">
      <c r="B205" s="61"/>
      <c r="C205" s="61"/>
      <c r="D205" s="61"/>
      <c r="E205" s="61"/>
      <c r="F205" s="61"/>
      <c r="I205" s="83">
        <v>190</v>
      </c>
      <c r="J205" s="255" t="str">
        <f>IF(I205&lt;=MAX(Forest_data[Age]),I205,"")</f>
        <v/>
      </c>
      <c r="K205" s="256" t="str">
        <f>IF(ISNUMBER(J205),LOOKUP(J205, Forest_data[[#All],[Age]],Forest_data[[#All],[Number of trees per ha]]),"")</f>
        <v/>
      </c>
      <c r="L205" s="257" t="str">
        <f>IF(ISNUMBER(J205),IF(ISNA(VLOOKUP(J205,Forest_data[#All],3,FALSE)),#N/A, VLOOKUP(J205,Forest_data[#All],3,FALSE)),"")</f>
        <v/>
      </c>
      <c r="M205" s="257" t="str">
        <f>IF(ISNUMBER(J205),IF(ISNA(VLOOKUP(J205,Forest_data[#All],4,FALSE)),#N/A, VLOOKUP(J205,Forest_data[#All],4,FALSE)),"")</f>
        <v/>
      </c>
      <c r="N205" s="257" t="str">
        <f>IF(ISNUMBER(J205),IF(ISNA(VLOOKUP(J205,Forest_data[#All],5,FALSE)),#N/A, VLOOKUP(J205,Forest_data[#All],5,FALSE)),"")</f>
        <v/>
      </c>
      <c r="O205" s="257" t="str">
        <f>IF(ISNUMBER(J205),IF(ISNA(VLOOKUP(J205,Forest_data[#All],6,FALSE)),#N/A, VLOOKUP(J205,Forest_data[#All],6,FALSE)),"")</f>
        <v/>
      </c>
      <c r="P205" s="257" t="str">
        <f t="shared" si="23"/>
        <v/>
      </c>
      <c r="Q205" s="257" t="str">
        <f t="shared" si="16"/>
        <v/>
      </c>
      <c r="R205" s="257" t="str">
        <f t="shared" si="21"/>
        <v/>
      </c>
      <c r="S205" s="283" t="str">
        <f t="shared" si="17"/>
        <v/>
      </c>
      <c r="T205" s="258" t="str">
        <f t="shared" si="18"/>
        <v/>
      </c>
      <c r="U205" s="257" t="str">
        <f t="shared" si="19"/>
        <v/>
      </c>
      <c r="V205" s="257" t="str">
        <f t="shared" si="22"/>
        <v/>
      </c>
      <c r="W205" s="283" t="str">
        <f t="shared" si="20"/>
        <v/>
      </c>
      <c r="X205" s="253"/>
      <c r="Y205" s="253"/>
      <c r="Z205" s="253"/>
      <c r="AA205" s="253"/>
      <c r="AB205" s="253"/>
      <c r="AC205" s="253"/>
      <c r="AD205" s="253"/>
      <c r="AE205" s="253"/>
      <c r="AF205" s="253"/>
      <c r="AG205" s="253"/>
      <c r="AH205" s="253"/>
      <c r="AI205" s="253"/>
      <c r="AJ205" s="253"/>
      <c r="AK205" s="253"/>
      <c r="AL205" s="253"/>
      <c r="AM205" s="253"/>
      <c r="AN205" s="253"/>
      <c r="AO205" s="253"/>
      <c r="AP205" s="253"/>
      <c r="AQ205" s="253"/>
      <c r="AR205" s="253"/>
      <c r="AS205" s="253"/>
      <c r="AT205" s="253"/>
      <c r="AU205" s="253"/>
      <c r="AV205" s="239"/>
    </row>
    <row r="206" spans="2:48" ht="19.5" customHeight="1" x14ac:dyDescent="0.25">
      <c r="B206" s="61"/>
      <c r="C206" s="61"/>
      <c r="D206" s="61"/>
      <c r="E206" s="61"/>
      <c r="F206" s="61"/>
      <c r="I206" s="83">
        <v>191</v>
      </c>
      <c r="J206" s="255" t="str">
        <f>IF(I206&lt;=MAX(Forest_data[Age]),I206,"")</f>
        <v/>
      </c>
      <c r="K206" s="256" t="str">
        <f>IF(ISNUMBER(J206),LOOKUP(J206, Forest_data[[#All],[Age]],Forest_data[[#All],[Number of trees per ha]]),"")</f>
        <v/>
      </c>
      <c r="L206" s="257" t="str">
        <f>IF(ISNUMBER(J206),IF(ISNA(VLOOKUP(J206,Forest_data[#All],3,FALSE)),#N/A, VLOOKUP(J206,Forest_data[#All],3,FALSE)),"")</f>
        <v/>
      </c>
      <c r="M206" s="257" t="str">
        <f>IF(ISNUMBER(J206),IF(ISNA(VLOOKUP(J206,Forest_data[#All],4,FALSE)),#N/A, VLOOKUP(J206,Forest_data[#All],4,FALSE)),"")</f>
        <v/>
      </c>
      <c r="N206" s="257" t="str">
        <f>IF(ISNUMBER(J206),IF(ISNA(VLOOKUP(J206,Forest_data[#All],5,FALSE)),#N/A, VLOOKUP(J206,Forest_data[#All],5,FALSE)),"")</f>
        <v/>
      </c>
      <c r="O206" s="257" t="str">
        <f>IF(ISNUMBER(J206),IF(ISNA(VLOOKUP(J206,Forest_data[#All],6,FALSE)),#N/A, VLOOKUP(J206,Forest_data[#All],6,FALSE)),"")</f>
        <v/>
      </c>
      <c r="P206" s="257" t="str">
        <f t="shared" si="23"/>
        <v/>
      </c>
      <c r="Q206" s="257" t="str">
        <f t="shared" si="16"/>
        <v/>
      </c>
      <c r="R206" s="257" t="str">
        <f t="shared" si="21"/>
        <v/>
      </c>
      <c r="S206" s="283" t="str">
        <f t="shared" si="17"/>
        <v/>
      </c>
      <c r="T206" s="258" t="str">
        <f t="shared" si="18"/>
        <v/>
      </c>
      <c r="U206" s="257" t="str">
        <f t="shared" si="19"/>
        <v/>
      </c>
      <c r="V206" s="257" t="str">
        <f t="shared" si="22"/>
        <v/>
      </c>
      <c r="W206" s="283" t="str">
        <f t="shared" si="20"/>
        <v/>
      </c>
      <c r="X206" s="253"/>
      <c r="Y206" s="253"/>
      <c r="Z206" s="253"/>
      <c r="AA206" s="253"/>
      <c r="AB206" s="253"/>
      <c r="AC206" s="253"/>
      <c r="AD206" s="253"/>
      <c r="AE206" s="253"/>
      <c r="AF206" s="253"/>
      <c r="AG206" s="253"/>
      <c r="AH206" s="253"/>
      <c r="AI206" s="253"/>
      <c r="AJ206" s="253"/>
      <c r="AK206" s="253"/>
      <c r="AL206" s="253"/>
      <c r="AM206" s="253"/>
      <c r="AN206" s="253"/>
      <c r="AO206" s="253"/>
      <c r="AP206" s="253"/>
      <c r="AQ206" s="253"/>
      <c r="AR206" s="253"/>
      <c r="AS206" s="253"/>
      <c r="AT206" s="253"/>
      <c r="AU206" s="253"/>
    </row>
    <row r="207" spans="2:48" ht="19.5" customHeight="1" x14ac:dyDescent="0.25">
      <c r="B207" s="61"/>
      <c r="C207" s="61"/>
      <c r="D207" s="61"/>
      <c r="E207" s="61"/>
      <c r="F207" s="61"/>
      <c r="I207" s="260">
        <v>192</v>
      </c>
      <c r="J207" s="255" t="str">
        <f>IF(I207&lt;=MAX(Forest_data[Age]),I207,"")</f>
        <v/>
      </c>
      <c r="K207" s="256" t="str">
        <f>IF(ISNUMBER(J207),LOOKUP(J207, Forest_data[[#All],[Age]],Forest_data[[#All],[Number of trees per ha]]),"")</f>
        <v/>
      </c>
      <c r="L207" s="257" t="str">
        <f>IF(ISNUMBER(J207),IF(ISNA(VLOOKUP(J207,Forest_data[#All],3,FALSE)),#N/A, VLOOKUP(J207,Forest_data[#All],3,FALSE)),"")</f>
        <v/>
      </c>
      <c r="M207" s="257" t="str">
        <f>IF(ISNUMBER(J207),IF(ISNA(VLOOKUP(J207,Forest_data[#All],4,FALSE)),#N/A, VLOOKUP(J207,Forest_data[#All],4,FALSE)),"")</f>
        <v/>
      </c>
      <c r="N207" s="257" t="str">
        <f>IF(ISNUMBER(J207),IF(ISNA(VLOOKUP(J207,Forest_data[#All],5,FALSE)),#N/A, VLOOKUP(J207,Forest_data[#All],5,FALSE)),"")</f>
        <v/>
      </c>
      <c r="O207" s="257" t="str">
        <f>IF(ISNUMBER(J207),IF(ISNA(VLOOKUP(J207,Forest_data[#All],6,FALSE)),#N/A, VLOOKUP(J207,Forest_data[#All],6,FALSE)),"")</f>
        <v/>
      </c>
      <c r="P207" s="257" t="str">
        <f t="shared" si="23"/>
        <v/>
      </c>
      <c r="Q207" s="257" t="str">
        <f t="shared" si="16"/>
        <v/>
      </c>
      <c r="R207" s="257" t="str">
        <f t="shared" si="21"/>
        <v/>
      </c>
      <c r="S207" s="283" t="str">
        <f t="shared" si="17"/>
        <v/>
      </c>
      <c r="T207" s="258" t="str">
        <f t="shared" si="18"/>
        <v/>
      </c>
      <c r="U207" s="257" t="str">
        <f t="shared" si="19"/>
        <v/>
      </c>
      <c r="V207" s="257" t="str">
        <f t="shared" si="22"/>
        <v/>
      </c>
      <c r="W207" s="283" t="str">
        <f t="shared" si="20"/>
        <v/>
      </c>
      <c r="X207" s="253"/>
      <c r="Y207" s="253"/>
      <c r="Z207" s="253"/>
      <c r="AA207" s="253"/>
      <c r="AB207" s="253"/>
      <c r="AC207" s="253"/>
      <c r="AD207" s="253"/>
      <c r="AE207" s="253"/>
      <c r="AF207" s="253"/>
      <c r="AG207" s="253"/>
      <c r="AH207" s="253"/>
      <c r="AI207" s="253"/>
      <c r="AJ207" s="253"/>
      <c r="AK207" s="253"/>
      <c r="AL207" s="253"/>
      <c r="AM207" s="253"/>
      <c r="AN207" s="253"/>
      <c r="AO207" s="253"/>
      <c r="AP207" s="253"/>
      <c r="AQ207" s="253"/>
      <c r="AR207" s="253"/>
      <c r="AS207" s="253"/>
      <c r="AT207" s="253"/>
      <c r="AU207" s="253"/>
    </row>
    <row r="208" spans="2:48" ht="19.5" customHeight="1" x14ac:dyDescent="0.25">
      <c r="I208" s="83">
        <v>193</v>
      </c>
      <c r="J208" s="255" t="str">
        <f>IF(I208&lt;=MAX(Forest_data[Age]),I208,"")</f>
        <v/>
      </c>
      <c r="K208" s="256" t="str">
        <f>IF(ISNUMBER(J208),LOOKUP(J208, Forest_data[[#All],[Age]],Forest_data[[#All],[Number of trees per ha]]),"")</f>
        <v/>
      </c>
      <c r="L208" s="257" t="str">
        <f>IF(ISNUMBER(J208),IF(ISNA(VLOOKUP(J208,Forest_data[#All],3,FALSE)),#N/A, VLOOKUP(J208,Forest_data[#All],3,FALSE)),"")</f>
        <v/>
      </c>
      <c r="M208" s="257" t="str">
        <f>IF(ISNUMBER(J208),IF(ISNA(VLOOKUP(J208,Forest_data[#All],4,FALSE)),#N/A, VLOOKUP(J208,Forest_data[#All],4,FALSE)),"")</f>
        <v/>
      </c>
      <c r="N208" s="257" t="str">
        <f>IF(ISNUMBER(J208),IF(ISNA(VLOOKUP(J208,Forest_data[#All],5,FALSE)),#N/A, VLOOKUP(J208,Forest_data[#All],5,FALSE)),"")</f>
        <v/>
      </c>
      <c r="O208" s="257" t="str">
        <f>IF(ISNUMBER(J208),IF(ISNA(VLOOKUP(J208,Forest_data[#All],6,FALSE)),#N/A, VLOOKUP(J208,Forest_data[#All],6,FALSE)),"")</f>
        <v/>
      </c>
      <c r="P208" s="257" t="str">
        <f t="shared" si="23"/>
        <v/>
      </c>
      <c r="Q208" s="257" t="str">
        <f t="shared" ref="Q208:Q271" si="24">IF(ISNUMBER(J208),IF($B$85*POWER(J208,2)+$C$85*J208+$D$85&lt;0,M208,$B$85*POWER(J208,2)+$C$85*J208+$D$85),"")</f>
        <v/>
      </c>
      <c r="R208" s="257" t="str">
        <f t="shared" si="21"/>
        <v/>
      </c>
      <c r="S208" s="283" t="str">
        <f t="shared" ref="S208:S271" si="25">IF(ISNUMBER(J208),IF($B$91*POWER(J208,2)+$C$91*J208+$D$91&lt;0,O208,$B$91*POWER(J208,2)+$C$91*J208+$D$91),"")</f>
        <v/>
      </c>
      <c r="T208" s="258" t="str">
        <f t="shared" ref="T208:T271" si="26">IF(ISNUMBER(J208),IF(+$B$83*POWER(J208,3)+$C$83*POWER(J208,2)+$D$83*POWER(J208,1)+$E$83&lt;0,L208,+$B$83*POWER(J208,3)+$C$83*POWER(J208,2)+$D$83*POWER(J208,1)+$E$83),"")</f>
        <v/>
      </c>
      <c r="U208" s="257" t="str">
        <f t="shared" ref="U208:U271" si="27">IF(ISNUMBER(J208),IF(+$B$86*POWER(J208,3)+$C$86*POWER(J208,2)+$D$86*POWER(J208,1)+$E$86&lt;0,M208,+$B$86*POWER(J208,3)+$C$86*POWER(J208,2)+$D$86*POWER(J208,1)+$E$86),"")</f>
        <v/>
      </c>
      <c r="V208" s="257" t="str">
        <f t="shared" si="22"/>
        <v/>
      </c>
      <c r="W208" s="283" t="str">
        <f t="shared" ref="W208:W271" si="28">IF(ISNUMBER(J208),IF(+$B$92*POWER(J208,3)+$C$92*POWER(J208,2)+$D$92*POWER(J208,1)+$E$92&lt;0,O208,+$B$92*POWER(J208,3)+$C$92*POWER(J208,2)+$D$92*POWER(J208,1)+$E$92),"")</f>
        <v/>
      </c>
      <c r="X208" s="253"/>
      <c r="Y208" s="253"/>
      <c r="Z208" s="253"/>
      <c r="AA208" s="253"/>
      <c r="AB208" s="253"/>
      <c r="AC208" s="253"/>
      <c r="AD208" s="253"/>
      <c r="AE208" s="253"/>
      <c r="AF208" s="253"/>
      <c r="AG208" s="253"/>
      <c r="AH208" s="253"/>
      <c r="AI208" s="253"/>
      <c r="AJ208" s="253"/>
      <c r="AK208" s="253"/>
      <c r="AL208" s="253"/>
      <c r="AM208" s="253"/>
      <c r="AN208" s="253"/>
      <c r="AO208" s="253"/>
      <c r="AP208" s="253"/>
      <c r="AQ208" s="253"/>
      <c r="AR208" s="253"/>
      <c r="AS208" s="253"/>
      <c r="AT208" s="253"/>
      <c r="AU208" s="253"/>
    </row>
    <row r="209" spans="9:47" ht="19.5" customHeight="1" x14ac:dyDescent="0.25">
      <c r="I209" s="83">
        <v>194</v>
      </c>
      <c r="J209" s="255" t="str">
        <f>IF(I209&lt;=MAX(Forest_data[Age]),I209,"")</f>
        <v/>
      </c>
      <c r="K209" s="256" t="str">
        <f>IF(ISNUMBER(J209),LOOKUP(J209, Forest_data[[#All],[Age]],Forest_data[[#All],[Number of trees per ha]]),"")</f>
        <v/>
      </c>
      <c r="L209" s="257" t="str">
        <f>IF(ISNUMBER(J209),IF(ISNA(VLOOKUP(J209,Forest_data[#All],3,FALSE)),#N/A, VLOOKUP(J209,Forest_data[#All],3,FALSE)),"")</f>
        <v/>
      </c>
      <c r="M209" s="257" t="str">
        <f>IF(ISNUMBER(J209),IF(ISNA(VLOOKUP(J209,Forest_data[#All],4,FALSE)),#N/A, VLOOKUP(J209,Forest_data[#All],4,FALSE)),"")</f>
        <v/>
      </c>
      <c r="N209" s="257" t="str">
        <f>IF(ISNUMBER(J209),IF(ISNA(VLOOKUP(J209,Forest_data[#All],5,FALSE)),#N/A, VLOOKUP(J209,Forest_data[#All],5,FALSE)),"")</f>
        <v/>
      </c>
      <c r="O209" s="257" t="str">
        <f>IF(ISNUMBER(J209),IF(ISNA(VLOOKUP(J209,Forest_data[#All],6,FALSE)),#N/A, VLOOKUP(J209,Forest_data[#All],6,FALSE)),"")</f>
        <v/>
      </c>
      <c r="P209" s="257" t="str">
        <f t="shared" si="23"/>
        <v/>
      </c>
      <c r="Q209" s="257" t="str">
        <f t="shared" si="24"/>
        <v/>
      </c>
      <c r="R209" s="257" t="str">
        <f t="shared" ref="R209:R272" si="29">IF(ISNUMBER(J209),IF($B$88*POWER(J209,2)+$C$88*J209+$D$88&lt;0,M209,$B$88*POWER(J209,2)+$C$88*J209+$D$88),"")</f>
        <v/>
      </c>
      <c r="S209" s="283" t="str">
        <f t="shared" si="25"/>
        <v/>
      </c>
      <c r="T209" s="258" t="str">
        <f t="shared" si="26"/>
        <v/>
      </c>
      <c r="U209" s="257" t="str">
        <f t="shared" si="27"/>
        <v/>
      </c>
      <c r="V209" s="257" t="str">
        <f t="shared" ref="V209:V272" si="30">IF(ISNUMBER(J209),IF(+$B$89*POWER(J209,3)+$C$89*POWER(J209,2)+$D$89*POWER(J209,1)+$E$89&lt;0,M209,+$B$89*POWER(J209,3)+$C$89*POWER(J209,2)+$D$89*POWER(J209,1)+$E$89),"")</f>
        <v/>
      </c>
      <c r="W209" s="283" t="str">
        <f t="shared" si="28"/>
        <v/>
      </c>
      <c r="X209" s="253"/>
      <c r="Y209" s="253"/>
      <c r="Z209" s="253"/>
      <c r="AA209" s="253"/>
      <c r="AB209" s="253"/>
      <c r="AC209" s="253"/>
      <c r="AD209" s="253"/>
      <c r="AE209" s="253"/>
      <c r="AF209" s="253"/>
      <c r="AG209" s="253"/>
      <c r="AH209" s="253"/>
      <c r="AI209" s="253"/>
      <c r="AJ209" s="253"/>
      <c r="AK209" s="253"/>
      <c r="AL209" s="253"/>
      <c r="AM209" s="253"/>
      <c r="AN209" s="253"/>
      <c r="AO209" s="253"/>
      <c r="AP209" s="253"/>
      <c r="AQ209" s="253"/>
      <c r="AR209" s="253"/>
      <c r="AS209" s="253"/>
      <c r="AT209" s="253"/>
      <c r="AU209" s="253"/>
    </row>
    <row r="210" spans="9:47" ht="19.5" customHeight="1" x14ac:dyDescent="0.25">
      <c r="I210" s="83">
        <v>195</v>
      </c>
      <c r="J210" s="255" t="str">
        <f>IF(I210&lt;=MAX(Forest_data[Age]),I210,"")</f>
        <v/>
      </c>
      <c r="K210" s="256" t="str">
        <f>IF(ISNUMBER(J210),LOOKUP(J210, Forest_data[[#All],[Age]],Forest_data[[#All],[Number of trees per ha]]),"")</f>
        <v/>
      </c>
      <c r="L210" s="257" t="str">
        <f>IF(ISNUMBER(J210),IF(ISNA(VLOOKUP(J210,Forest_data[#All],3,FALSE)),#N/A, VLOOKUP(J210,Forest_data[#All],3,FALSE)),"")</f>
        <v/>
      </c>
      <c r="M210" s="257" t="str">
        <f>IF(ISNUMBER(J210),IF(ISNA(VLOOKUP(J210,Forest_data[#All],4,FALSE)),#N/A, VLOOKUP(J210,Forest_data[#All],4,FALSE)),"")</f>
        <v/>
      </c>
      <c r="N210" s="257" t="str">
        <f>IF(ISNUMBER(J210),IF(ISNA(VLOOKUP(J210,Forest_data[#All],5,FALSE)),#N/A, VLOOKUP(J210,Forest_data[#All],5,FALSE)),"")</f>
        <v/>
      </c>
      <c r="O210" s="257" t="str">
        <f>IF(ISNUMBER(J210),IF(ISNA(VLOOKUP(J210,Forest_data[#All],6,FALSE)),#N/A, VLOOKUP(J210,Forest_data[#All],6,FALSE)),"")</f>
        <v/>
      </c>
      <c r="P210" s="257" t="str">
        <f t="shared" ref="P210:P273" si="31">IF(ISNUMBER(J210),IF($B$82*POWER(J210,2)+$C$82*J210+$D$82&lt;0,L210,$B$82*POWER(J210,2)+$C$82*J210+$D$82),"")</f>
        <v/>
      </c>
      <c r="Q210" s="257" t="str">
        <f t="shared" si="24"/>
        <v/>
      </c>
      <c r="R210" s="257" t="str">
        <f t="shared" si="29"/>
        <v/>
      </c>
      <c r="S210" s="283" t="str">
        <f t="shared" si="25"/>
        <v/>
      </c>
      <c r="T210" s="258" t="str">
        <f t="shared" si="26"/>
        <v/>
      </c>
      <c r="U210" s="257" t="str">
        <f t="shared" si="27"/>
        <v/>
      </c>
      <c r="V210" s="257" t="str">
        <f t="shared" si="30"/>
        <v/>
      </c>
      <c r="W210" s="283" t="str">
        <f t="shared" si="28"/>
        <v/>
      </c>
      <c r="X210" s="253"/>
      <c r="Y210" s="253"/>
      <c r="Z210" s="253"/>
      <c r="AA210" s="253"/>
      <c r="AB210" s="253"/>
      <c r="AC210" s="253"/>
      <c r="AD210" s="253"/>
      <c r="AE210" s="253"/>
      <c r="AF210" s="253"/>
      <c r="AG210" s="253"/>
      <c r="AH210" s="253"/>
      <c r="AI210" s="253"/>
      <c r="AJ210" s="253"/>
      <c r="AK210" s="253"/>
      <c r="AL210" s="253"/>
      <c r="AM210" s="253"/>
      <c r="AN210" s="253"/>
      <c r="AO210" s="253"/>
      <c r="AP210" s="253"/>
      <c r="AQ210" s="253"/>
      <c r="AR210" s="253"/>
      <c r="AS210" s="253"/>
      <c r="AT210" s="253"/>
      <c r="AU210" s="253"/>
    </row>
    <row r="211" spans="9:47" ht="19.5" customHeight="1" x14ac:dyDescent="0.25">
      <c r="I211" s="260">
        <v>196</v>
      </c>
      <c r="J211" s="255" t="str">
        <f>IF(I211&lt;=MAX(Forest_data[Age]),I211,"")</f>
        <v/>
      </c>
      <c r="K211" s="256" t="str">
        <f>IF(ISNUMBER(J211),LOOKUP(J211, Forest_data[[#All],[Age]],Forest_data[[#All],[Number of trees per ha]]),"")</f>
        <v/>
      </c>
      <c r="L211" s="257" t="str">
        <f>IF(ISNUMBER(J211),IF(ISNA(VLOOKUP(J211,Forest_data[#All],3,FALSE)),#N/A, VLOOKUP(J211,Forest_data[#All],3,FALSE)),"")</f>
        <v/>
      </c>
      <c r="M211" s="257" t="str">
        <f>IF(ISNUMBER(J211),IF(ISNA(VLOOKUP(J211,Forest_data[#All],4,FALSE)),#N/A, VLOOKUP(J211,Forest_data[#All],4,FALSE)),"")</f>
        <v/>
      </c>
      <c r="N211" s="257" t="str">
        <f>IF(ISNUMBER(J211),IF(ISNA(VLOOKUP(J211,Forest_data[#All],5,FALSE)),#N/A, VLOOKUP(J211,Forest_data[#All],5,FALSE)),"")</f>
        <v/>
      </c>
      <c r="O211" s="257" t="str">
        <f>IF(ISNUMBER(J211),IF(ISNA(VLOOKUP(J211,Forest_data[#All],6,FALSE)),#N/A, VLOOKUP(J211,Forest_data[#All],6,FALSE)),"")</f>
        <v/>
      </c>
      <c r="P211" s="257" t="str">
        <f t="shared" si="31"/>
        <v/>
      </c>
      <c r="Q211" s="257" t="str">
        <f t="shared" si="24"/>
        <v/>
      </c>
      <c r="R211" s="257" t="str">
        <f t="shared" si="29"/>
        <v/>
      </c>
      <c r="S211" s="283" t="str">
        <f t="shared" si="25"/>
        <v/>
      </c>
      <c r="T211" s="258" t="str">
        <f t="shared" si="26"/>
        <v/>
      </c>
      <c r="U211" s="257" t="str">
        <f t="shared" si="27"/>
        <v/>
      </c>
      <c r="V211" s="257" t="str">
        <f t="shared" si="30"/>
        <v/>
      </c>
      <c r="W211" s="283" t="str">
        <f t="shared" si="28"/>
        <v/>
      </c>
      <c r="X211" s="253"/>
      <c r="Y211" s="253"/>
      <c r="Z211" s="253"/>
      <c r="AA211" s="253"/>
      <c r="AB211" s="253"/>
      <c r="AC211" s="253"/>
      <c r="AD211" s="253"/>
      <c r="AE211" s="253"/>
      <c r="AF211" s="253"/>
      <c r="AG211" s="253"/>
      <c r="AH211" s="253"/>
      <c r="AI211" s="253"/>
      <c r="AJ211" s="253"/>
      <c r="AK211" s="253"/>
      <c r="AL211" s="253"/>
      <c r="AM211" s="253"/>
      <c r="AN211" s="253"/>
      <c r="AO211" s="253"/>
      <c r="AP211" s="253"/>
      <c r="AQ211" s="253"/>
      <c r="AR211" s="253"/>
      <c r="AS211" s="253"/>
      <c r="AT211" s="253"/>
      <c r="AU211" s="253"/>
    </row>
    <row r="212" spans="9:47" ht="19.5" customHeight="1" x14ac:dyDescent="0.25">
      <c r="I212" s="83">
        <v>197</v>
      </c>
      <c r="J212" s="255" t="str">
        <f>IF(I212&lt;=MAX(Forest_data[Age]),I212,"")</f>
        <v/>
      </c>
      <c r="K212" s="256" t="str">
        <f>IF(ISNUMBER(J212),LOOKUP(J212, Forest_data[[#All],[Age]],Forest_data[[#All],[Number of trees per ha]]),"")</f>
        <v/>
      </c>
      <c r="L212" s="257" t="str">
        <f>IF(ISNUMBER(J212),IF(ISNA(VLOOKUP(J212,Forest_data[#All],3,FALSE)),#N/A, VLOOKUP(J212,Forest_data[#All],3,FALSE)),"")</f>
        <v/>
      </c>
      <c r="M212" s="257" t="str">
        <f>IF(ISNUMBER(J212),IF(ISNA(VLOOKUP(J212,Forest_data[#All],4,FALSE)),#N/A, VLOOKUP(J212,Forest_data[#All],4,FALSE)),"")</f>
        <v/>
      </c>
      <c r="N212" s="257" t="str">
        <f>IF(ISNUMBER(J212),IF(ISNA(VLOOKUP(J212,Forest_data[#All],5,FALSE)),#N/A, VLOOKUP(J212,Forest_data[#All],5,FALSE)),"")</f>
        <v/>
      </c>
      <c r="O212" s="257" t="str">
        <f>IF(ISNUMBER(J212),IF(ISNA(VLOOKUP(J212,Forest_data[#All],6,FALSE)),#N/A, VLOOKUP(J212,Forest_data[#All],6,FALSE)),"")</f>
        <v/>
      </c>
      <c r="P212" s="257" t="str">
        <f t="shared" si="31"/>
        <v/>
      </c>
      <c r="Q212" s="257" t="str">
        <f t="shared" si="24"/>
        <v/>
      </c>
      <c r="R212" s="257" t="str">
        <f t="shared" si="29"/>
        <v/>
      </c>
      <c r="S212" s="283" t="str">
        <f t="shared" si="25"/>
        <v/>
      </c>
      <c r="T212" s="258" t="str">
        <f t="shared" si="26"/>
        <v/>
      </c>
      <c r="U212" s="257" t="str">
        <f t="shared" si="27"/>
        <v/>
      </c>
      <c r="V212" s="257" t="str">
        <f t="shared" si="30"/>
        <v/>
      </c>
      <c r="W212" s="283" t="str">
        <f t="shared" si="28"/>
        <v/>
      </c>
      <c r="X212" s="253"/>
      <c r="Y212" s="253"/>
      <c r="Z212" s="253"/>
      <c r="AA212" s="253"/>
      <c r="AB212" s="253"/>
      <c r="AC212" s="253"/>
      <c r="AD212" s="253"/>
      <c r="AE212" s="253"/>
      <c r="AF212" s="253"/>
      <c r="AG212" s="253"/>
      <c r="AH212" s="253"/>
      <c r="AI212" s="253"/>
      <c r="AJ212" s="253"/>
      <c r="AK212" s="253"/>
      <c r="AL212" s="253"/>
      <c r="AM212" s="253"/>
      <c r="AN212" s="253"/>
      <c r="AO212" s="253"/>
      <c r="AP212" s="253"/>
      <c r="AQ212" s="253"/>
      <c r="AR212" s="253"/>
      <c r="AS212" s="253"/>
      <c r="AT212" s="253"/>
      <c r="AU212" s="253"/>
    </row>
    <row r="213" spans="9:47" ht="19.5" customHeight="1" x14ac:dyDescent="0.25">
      <c r="I213" s="83">
        <v>198</v>
      </c>
      <c r="J213" s="255" t="str">
        <f>IF(I213&lt;=MAX(Forest_data[Age]),I213,"")</f>
        <v/>
      </c>
      <c r="K213" s="256" t="str">
        <f>IF(ISNUMBER(J213),LOOKUP(J213, Forest_data[[#All],[Age]],Forest_data[[#All],[Number of trees per ha]]),"")</f>
        <v/>
      </c>
      <c r="L213" s="257" t="str">
        <f>IF(ISNUMBER(J213),IF(ISNA(VLOOKUP(J213,Forest_data[#All],3,FALSE)),#N/A, VLOOKUP(J213,Forest_data[#All],3,FALSE)),"")</f>
        <v/>
      </c>
      <c r="M213" s="257" t="str">
        <f>IF(ISNUMBER(J213),IF(ISNA(VLOOKUP(J213,Forest_data[#All],4,FALSE)),#N/A, VLOOKUP(J213,Forest_data[#All],4,FALSE)),"")</f>
        <v/>
      </c>
      <c r="N213" s="257" t="str">
        <f>IF(ISNUMBER(J213),IF(ISNA(VLOOKUP(J213,Forest_data[#All],5,FALSE)),#N/A, VLOOKUP(J213,Forest_data[#All],5,FALSE)),"")</f>
        <v/>
      </c>
      <c r="O213" s="257" t="str">
        <f>IF(ISNUMBER(J213),IF(ISNA(VLOOKUP(J213,Forest_data[#All],6,FALSE)),#N/A, VLOOKUP(J213,Forest_data[#All],6,FALSE)),"")</f>
        <v/>
      </c>
      <c r="P213" s="257" t="str">
        <f t="shared" si="31"/>
        <v/>
      </c>
      <c r="Q213" s="257" t="str">
        <f t="shared" si="24"/>
        <v/>
      </c>
      <c r="R213" s="257" t="str">
        <f t="shared" si="29"/>
        <v/>
      </c>
      <c r="S213" s="283" t="str">
        <f t="shared" si="25"/>
        <v/>
      </c>
      <c r="T213" s="258" t="str">
        <f t="shared" si="26"/>
        <v/>
      </c>
      <c r="U213" s="257" t="str">
        <f t="shared" si="27"/>
        <v/>
      </c>
      <c r="V213" s="257" t="str">
        <f t="shared" si="30"/>
        <v/>
      </c>
      <c r="W213" s="283" t="str">
        <f t="shared" si="28"/>
        <v/>
      </c>
      <c r="X213" s="253"/>
      <c r="Y213" s="253"/>
      <c r="Z213" s="253"/>
      <c r="AA213" s="253"/>
      <c r="AB213" s="253"/>
      <c r="AC213" s="253"/>
      <c r="AD213" s="253"/>
      <c r="AE213" s="253"/>
      <c r="AF213" s="253"/>
      <c r="AG213" s="253"/>
      <c r="AH213" s="253"/>
      <c r="AI213" s="253"/>
      <c r="AJ213" s="253"/>
      <c r="AK213" s="253"/>
      <c r="AL213" s="253"/>
      <c r="AM213" s="253"/>
      <c r="AN213" s="253"/>
      <c r="AO213" s="253"/>
      <c r="AP213" s="253"/>
      <c r="AQ213" s="253"/>
      <c r="AR213" s="253"/>
      <c r="AS213" s="253"/>
      <c r="AT213" s="253"/>
      <c r="AU213" s="253"/>
    </row>
    <row r="214" spans="9:47" ht="19.5" customHeight="1" x14ac:dyDescent="0.25">
      <c r="I214" s="83">
        <v>199</v>
      </c>
      <c r="J214" s="255" t="str">
        <f>IF(I214&lt;=MAX(Forest_data[Age]),I214,"")</f>
        <v/>
      </c>
      <c r="K214" s="256" t="str">
        <f>IF(ISNUMBER(J214),LOOKUP(J214, Forest_data[[#All],[Age]],Forest_data[[#All],[Number of trees per ha]]),"")</f>
        <v/>
      </c>
      <c r="L214" s="257" t="str">
        <f>IF(ISNUMBER(J214),IF(ISNA(VLOOKUP(J214,Forest_data[#All],3,FALSE)),#N/A, VLOOKUP(J214,Forest_data[#All],3,FALSE)),"")</f>
        <v/>
      </c>
      <c r="M214" s="257" t="str">
        <f>IF(ISNUMBER(J214),IF(ISNA(VLOOKUP(J214,Forest_data[#All],4,FALSE)),#N/A, VLOOKUP(J214,Forest_data[#All],4,FALSE)),"")</f>
        <v/>
      </c>
      <c r="N214" s="257" t="str">
        <f>IF(ISNUMBER(J214),IF(ISNA(VLOOKUP(J214,Forest_data[#All],5,FALSE)),#N/A, VLOOKUP(J214,Forest_data[#All],5,FALSE)),"")</f>
        <v/>
      </c>
      <c r="O214" s="257" t="str">
        <f>IF(ISNUMBER(J214),IF(ISNA(VLOOKUP(J214,Forest_data[#All],6,FALSE)),#N/A, VLOOKUP(J214,Forest_data[#All],6,FALSE)),"")</f>
        <v/>
      </c>
      <c r="P214" s="257" t="str">
        <f t="shared" si="31"/>
        <v/>
      </c>
      <c r="Q214" s="257" t="str">
        <f t="shared" si="24"/>
        <v/>
      </c>
      <c r="R214" s="257" t="str">
        <f t="shared" si="29"/>
        <v/>
      </c>
      <c r="S214" s="283" t="str">
        <f t="shared" si="25"/>
        <v/>
      </c>
      <c r="T214" s="258" t="str">
        <f t="shared" si="26"/>
        <v/>
      </c>
      <c r="U214" s="257" t="str">
        <f t="shared" si="27"/>
        <v/>
      </c>
      <c r="V214" s="257" t="str">
        <f t="shared" si="30"/>
        <v/>
      </c>
      <c r="W214" s="283" t="str">
        <f t="shared" si="28"/>
        <v/>
      </c>
      <c r="X214" s="253"/>
      <c r="Y214" s="253"/>
      <c r="Z214" s="253"/>
      <c r="AA214" s="253"/>
      <c r="AB214" s="253"/>
      <c r="AC214" s="253"/>
      <c r="AD214" s="253"/>
      <c r="AE214" s="253"/>
      <c r="AF214" s="253"/>
      <c r="AG214" s="253"/>
      <c r="AH214" s="253"/>
      <c r="AI214" s="253"/>
      <c r="AJ214" s="253"/>
      <c r="AK214" s="253"/>
      <c r="AL214" s="253"/>
      <c r="AM214" s="253"/>
      <c r="AN214" s="253"/>
      <c r="AO214" s="253"/>
      <c r="AP214" s="253"/>
      <c r="AQ214" s="253"/>
      <c r="AR214" s="253"/>
      <c r="AS214" s="253"/>
      <c r="AT214" s="253"/>
      <c r="AU214" s="253"/>
    </row>
    <row r="215" spans="9:47" ht="19.5" customHeight="1" x14ac:dyDescent="0.25">
      <c r="I215" s="260">
        <v>200</v>
      </c>
      <c r="J215" s="255" t="str">
        <f>IF(I215&lt;=MAX(Forest_data[Age]),I215,"")</f>
        <v/>
      </c>
      <c r="K215" s="256" t="str">
        <f>IF(ISNUMBER(J215),LOOKUP(J215, Forest_data[[#All],[Age]],Forest_data[[#All],[Number of trees per ha]]),"")</f>
        <v/>
      </c>
      <c r="L215" s="257" t="str">
        <f>IF(ISNUMBER(J215),IF(ISNA(VLOOKUP(J215,Forest_data[#All],3,FALSE)),#N/A, VLOOKUP(J215,Forest_data[#All],3,FALSE)),"")</f>
        <v/>
      </c>
      <c r="M215" s="257" t="str">
        <f>IF(ISNUMBER(J215),IF(ISNA(VLOOKUP(J215,Forest_data[#All],4,FALSE)),#N/A, VLOOKUP(J215,Forest_data[#All],4,FALSE)),"")</f>
        <v/>
      </c>
      <c r="N215" s="257" t="str">
        <f>IF(ISNUMBER(J215),IF(ISNA(VLOOKUP(J215,Forest_data[#All],5,FALSE)),#N/A, VLOOKUP(J215,Forest_data[#All],5,FALSE)),"")</f>
        <v/>
      </c>
      <c r="O215" s="257" t="str">
        <f>IF(ISNUMBER(J215),IF(ISNA(VLOOKUP(J215,Forest_data[#All],6,FALSE)),#N/A, VLOOKUP(J215,Forest_data[#All],6,FALSE)),"")</f>
        <v/>
      </c>
      <c r="P215" s="257" t="str">
        <f t="shared" si="31"/>
        <v/>
      </c>
      <c r="Q215" s="257" t="str">
        <f t="shared" si="24"/>
        <v/>
      </c>
      <c r="R215" s="257" t="str">
        <f t="shared" si="29"/>
        <v/>
      </c>
      <c r="S215" s="283" t="str">
        <f t="shared" si="25"/>
        <v/>
      </c>
      <c r="T215" s="258" t="str">
        <f t="shared" si="26"/>
        <v/>
      </c>
      <c r="U215" s="257" t="str">
        <f t="shared" si="27"/>
        <v/>
      </c>
      <c r="V215" s="257" t="str">
        <f t="shared" si="30"/>
        <v/>
      </c>
      <c r="W215" s="283" t="str">
        <f t="shared" si="28"/>
        <v/>
      </c>
      <c r="X215" s="253"/>
      <c r="Y215" s="253"/>
      <c r="Z215" s="253"/>
      <c r="AA215" s="253"/>
      <c r="AB215" s="253"/>
      <c r="AC215" s="253"/>
      <c r="AD215" s="253"/>
      <c r="AE215" s="253"/>
      <c r="AF215" s="253"/>
      <c r="AG215" s="253"/>
      <c r="AH215" s="253"/>
      <c r="AI215" s="253"/>
      <c r="AJ215" s="253"/>
      <c r="AK215" s="253"/>
      <c r="AL215" s="253"/>
      <c r="AM215" s="253"/>
      <c r="AN215" s="253"/>
      <c r="AO215" s="253"/>
      <c r="AP215" s="253"/>
      <c r="AQ215" s="253"/>
      <c r="AR215" s="253"/>
      <c r="AS215" s="253"/>
      <c r="AT215" s="253"/>
      <c r="AU215" s="253"/>
    </row>
    <row r="216" spans="9:47" ht="19.5" customHeight="1" x14ac:dyDescent="0.25">
      <c r="I216" s="83">
        <v>201</v>
      </c>
      <c r="J216" s="255" t="str">
        <f>IF(I216&lt;=MAX(Forest_data[Age]),I216,"")</f>
        <v/>
      </c>
      <c r="K216" s="256" t="str">
        <f>IF(ISNUMBER(J216),LOOKUP(J216, Forest_data[[#All],[Age]],Forest_data[[#All],[Number of trees per ha]]),"")</f>
        <v/>
      </c>
      <c r="L216" s="257" t="str">
        <f>IF(ISNUMBER(J216),IF(ISNA(VLOOKUP(J216,Forest_data[#All],3,FALSE)),#N/A, VLOOKUP(J216,Forest_data[#All],3,FALSE)),"")</f>
        <v/>
      </c>
      <c r="M216" s="257" t="str">
        <f>IF(ISNUMBER(J216),IF(ISNA(VLOOKUP(J216,Forest_data[#All],4,FALSE)),#N/A, VLOOKUP(J216,Forest_data[#All],4,FALSE)),"")</f>
        <v/>
      </c>
      <c r="N216" s="257" t="str">
        <f>IF(ISNUMBER(J216),IF(ISNA(VLOOKUP(J216,Forest_data[#All],5,FALSE)),#N/A, VLOOKUP(J216,Forest_data[#All],5,FALSE)),"")</f>
        <v/>
      </c>
      <c r="O216" s="257" t="str">
        <f>IF(ISNUMBER(J216),IF(ISNA(VLOOKUP(J216,Forest_data[#All],6,FALSE)),#N/A, VLOOKUP(J216,Forest_data[#All],6,FALSE)),"")</f>
        <v/>
      </c>
      <c r="P216" s="257" t="str">
        <f t="shared" si="31"/>
        <v/>
      </c>
      <c r="Q216" s="257" t="str">
        <f t="shared" si="24"/>
        <v/>
      </c>
      <c r="R216" s="257" t="str">
        <f t="shared" si="29"/>
        <v/>
      </c>
      <c r="S216" s="283" t="str">
        <f t="shared" si="25"/>
        <v/>
      </c>
      <c r="T216" s="258" t="str">
        <f t="shared" si="26"/>
        <v/>
      </c>
      <c r="U216" s="257" t="str">
        <f t="shared" si="27"/>
        <v/>
      </c>
      <c r="V216" s="257" t="str">
        <f t="shared" si="30"/>
        <v/>
      </c>
      <c r="W216" s="283" t="str">
        <f t="shared" si="28"/>
        <v/>
      </c>
      <c r="X216" s="253"/>
      <c r="Y216" s="253"/>
      <c r="Z216" s="253"/>
      <c r="AA216" s="253"/>
      <c r="AB216" s="253"/>
      <c r="AC216" s="253"/>
      <c r="AD216" s="253"/>
      <c r="AE216" s="253"/>
      <c r="AF216" s="253"/>
      <c r="AG216" s="253"/>
      <c r="AH216" s="253"/>
      <c r="AI216" s="253"/>
      <c r="AJ216" s="253"/>
      <c r="AK216" s="253"/>
      <c r="AL216" s="253"/>
      <c r="AM216" s="253"/>
      <c r="AN216" s="253"/>
      <c r="AO216" s="253"/>
      <c r="AP216" s="253"/>
      <c r="AQ216" s="253"/>
      <c r="AR216" s="253"/>
      <c r="AS216" s="253"/>
      <c r="AT216" s="253"/>
      <c r="AU216" s="253"/>
    </row>
    <row r="217" spans="9:47" ht="19.5" customHeight="1" x14ac:dyDescent="0.25">
      <c r="I217" s="83">
        <v>202</v>
      </c>
      <c r="J217" s="255" t="str">
        <f>IF(I217&lt;=MAX(Forest_data[Age]),I217,"")</f>
        <v/>
      </c>
      <c r="K217" s="256" t="str">
        <f>IF(ISNUMBER(J217),LOOKUP(J217, Forest_data[[#All],[Age]],Forest_data[[#All],[Number of trees per ha]]),"")</f>
        <v/>
      </c>
      <c r="L217" s="257" t="str">
        <f>IF(ISNUMBER(J217),IF(ISNA(VLOOKUP(J217,Forest_data[#All],3,FALSE)),#N/A, VLOOKUP(J217,Forest_data[#All],3,FALSE)),"")</f>
        <v/>
      </c>
      <c r="M217" s="257" t="str">
        <f>IF(ISNUMBER(J217),IF(ISNA(VLOOKUP(J217,Forest_data[#All],4,FALSE)),#N/A, VLOOKUP(J217,Forest_data[#All],4,FALSE)),"")</f>
        <v/>
      </c>
      <c r="N217" s="257" t="str">
        <f>IF(ISNUMBER(J217),IF(ISNA(VLOOKUP(J217,Forest_data[#All],5,FALSE)),#N/A, VLOOKUP(J217,Forest_data[#All],5,FALSE)),"")</f>
        <v/>
      </c>
      <c r="O217" s="257" t="str">
        <f>IF(ISNUMBER(J217),IF(ISNA(VLOOKUP(J217,Forest_data[#All],6,FALSE)),#N/A, VLOOKUP(J217,Forest_data[#All],6,FALSE)),"")</f>
        <v/>
      </c>
      <c r="P217" s="257" t="str">
        <f t="shared" si="31"/>
        <v/>
      </c>
      <c r="Q217" s="257" t="str">
        <f t="shared" si="24"/>
        <v/>
      </c>
      <c r="R217" s="257" t="str">
        <f t="shared" si="29"/>
        <v/>
      </c>
      <c r="S217" s="283" t="str">
        <f t="shared" si="25"/>
        <v/>
      </c>
      <c r="T217" s="258" t="str">
        <f t="shared" si="26"/>
        <v/>
      </c>
      <c r="U217" s="257" t="str">
        <f t="shared" si="27"/>
        <v/>
      </c>
      <c r="V217" s="257" t="str">
        <f t="shared" si="30"/>
        <v/>
      </c>
      <c r="W217" s="283" t="str">
        <f t="shared" si="28"/>
        <v/>
      </c>
      <c r="X217" s="253"/>
      <c r="Y217" s="253"/>
      <c r="Z217" s="253"/>
      <c r="AA217" s="253"/>
      <c r="AB217" s="253"/>
      <c r="AC217" s="253"/>
      <c r="AD217" s="253"/>
      <c r="AE217" s="253"/>
      <c r="AF217" s="253"/>
      <c r="AG217" s="253"/>
      <c r="AH217" s="253"/>
      <c r="AI217" s="253"/>
      <c r="AJ217" s="253"/>
      <c r="AK217" s="253"/>
      <c r="AL217" s="253"/>
      <c r="AM217" s="253"/>
      <c r="AN217" s="253"/>
      <c r="AO217" s="253"/>
      <c r="AP217" s="253"/>
      <c r="AQ217" s="253"/>
      <c r="AR217" s="253"/>
      <c r="AS217" s="253"/>
      <c r="AT217" s="253"/>
      <c r="AU217" s="253"/>
    </row>
    <row r="218" spans="9:47" ht="19.5" customHeight="1" x14ac:dyDescent="0.25">
      <c r="I218" s="83">
        <v>203</v>
      </c>
      <c r="J218" s="255" t="str">
        <f>IF(I218&lt;=MAX(Forest_data[Age]),I218,"")</f>
        <v/>
      </c>
      <c r="K218" s="256" t="str">
        <f>IF(ISNUMBER(J218),LOOKUP(J218, Forest_data[[#All],[Age]],Forest_data[[#All],[Number of trees per ha]]),"")</f>
        <v/>
      </c>
      <c r="L218" s="257" t="str">
        <f>IF(ISNUMBER(J218),IF(ISNA(VLOOKUP(J218,Forest_data[#All],3,FALSE)),#N/A, VLOOKUP(J218,Forest_data[#All],3,FALSE)),"")</f>
        <v/>
      </c>
      <c r="M218" s="257" t="str">
        <f>IF(ISNUMBER(J218),IF(ISNA(VLOOKUP(J218,Forest_data[#All],4,FALSE)),#N/A, VLOOKUP(J218,Forest_data[#All],4,FALSE)),"")</f>
        <v/>
      </c>
      <c r="N218" s="257" t="str">
        <f>IF(ISNUMBER(J218),IF(ISNA(VLOOKUP(J218,Forest_data[#All],5,FALSE)),#N/A, VLOOKUP(J218,Forest_data[#All],5,FALSE)),"")</f>
        <v/>
      </c>
      <c r="O218" s="257" t="str">
        <f>IF(ISNUMBER(J218),IF(ISNA(VLOOKUP(J218,Forest_data[#All],6,FALSE)),#N/A, VLOOKUP(J218,Forest_data[#All],6,FALSE)),"")</f>
        <v/>
      </c>
      <c r="P218" s="257" t="str">
        <f t="shared" si="31"/>
        <v/>
      </c>
      <c r="Q218" s="257" t="str">
        <f t="shared" si="24"/>
        <v/>
      </c>
      <c r="R218" s="257" t="str">
        <f t="shared" si="29"/>
        <v/>
      </c>
      <c r="S218" s="283" t="str">
        <f t="shared" si="25"/>
        <v/>
      </c>
      <c r="T218" s="258" t="str">
        <f t="shared" si="26"/>
        <v/>
      </c>
      <c r="U218" s="257" t="str">
        <f t="shared" si="27"/>
        <v/>
      </c>
      <c r="V218" s="257" t="str">
        <f t="shared" si="30"/>
        <v/>
      </c>
      <c r="W218" s="283" t="str">
        <f t="shared" si="28"/>
        <v/>
      </c>
      <c r="X218" s="253"/>
      <c r="Y218" s="253"/>
      <c r="Z218" s="253"/>
      <c r="AA218" s="253"/>
      <c r="AB218" s="253"/>
      <c r="AC218" s="253"/>
      <c r="AD218" s="253"/>
      <c r="AE218" s="253"/>
      <c r="AF218" s="253"/>
      <c r="AG218" s="253"/>
      <c r="AH218" s="253"/>
      <c r="AI218" s="253"/>
      <c r="AJ218" s="253"/>
      <c r="AK218" s="253"/>
      <c r="AL218" s="253"/>
      <c r="AM218" s="253"/>
      <c r="AN218" s="253"/>
      <c r="AO218" s="253"/>
      <c r="AP218" s="253"/>
      <c r="AQ218" s="253"/>
      <c r="AR218" s="253"/>
      <c r="AS218" s="253"/>
      <c r="AT218" s="253"/>
      <c r="AU218" s="253"/>
    </row>
    <row r="219" spans="9:47" ht="19.5" customHeight="1" x14ac:dyDescent="0.25">
      <c r="I219" s="260">
        <v>204</v>
      </c>
      <c r="J219" s="255" t="str">
        <f>IF(I219&lt;=MAX(Forest_data[Age]),I219,"")</f>
        <v/>
      </c>
      <c r="K219" s="256" t="str">
        <f>IF(ISNUMBER(J219),LOOKUP(J219, Forest_data[[#All],[Age]],Forest_data[[#All],[Number of trees per ha]]),"")</f>
        <v/>
      </c>
      <c r="L219" s="257" t="str">
        <f>IF(ISNUMBER(J219),IF(ISNA(VLOOKUP(J219,Forest_data[#All],3,FALSE)),#N/A, VLOOKUP(J219,Forest_data[#All],3,FALSE)),"")</f>
        <v/>
      </c>
      <c r="M219" s="257" t="str">
        <f>IF(ISNUMBER(J219),IF(ISNA(VLOOKUP(J219,Forest_data[#All],4,FALSE)),#N/A, VLOOKUP(J219,Forest_data[#All],4,FALSE)),"")</f>
        <v/>
      </c>
      <c r="N219" s="257" t="str">
        <f>IF(ISNUMBER(J219),IF(ISNA(VLOOKUP(J219,Forest_data[#All],5,FALSE)),#N/A, VLOOKUP(J219,Forest_data[#All],5,FALSE)),"")</f>
        <v/>
      </c>
      <c r="O219" s="257" t="str">
        <f>IF(ISNUMBER(J219),IF(ISNA(VLOOKUP(J219,Forest_data[#All],6,FALSE)),#N/A, VLOOKUP(J219,Forest_data[#All],6,FALSE)),"")</f>
        <v/>
      </c>
      <c r="P219" s="257" t="str">
        <f t="shared" si="31"/>
        <v/>
      </c>
      <c r="Q219" s="257" t="str">
        <f t="shared" si="24"/>
        <v/>
      </c>
      <c r="R219" s="257" t="str">
        <f t="shared" si="29"/>
        <v/>
      </c>
      <c r="S219" s="283" t="str">
        <f t="shared" si="25"/>
        <v/>
      </c>
      <c r="T219" s="258" t="str">
        <f t="shared" si="26"/>
        <v/>
      </c>
      <c r="U219" s="257" t="str">
        <f t="shared" si="27"/>
        <v/>
      </c>
      <c r="V219" s="257" t="str">
        <f t="shared" si="30"/>
        <v/>
      </c>
      <c r="W219" s="283" t="str">
        <f t="shared" si="28"/>
        <v/>
      </c>
      <c r="X219" s="253"/>
      <c r="Y219" s="253"/>
      <c r="Z219" s="253"/>
      <c r="AA219" s="253"/>
      <c r="AB219" s="253"/>
      <c r="AC219" s="253"/>
      <c r="AD219" s="253"/>
      <c r="AE219" s="253"/>
      <c r="AF219" s="253"/>
      <c r="AG219" s="253"/>
      <c r="AH219" s="253"/>
      <c r="AI219" s="253"/>
      <c r="AJ219" s="253"/>
      <c r="AK219" s="253"/>
      <c r="AL219" s="253"/>
      <c r="AM219" s="253"/>
      <c r="AN219" s="253"/>
      <c r="AO219" s="253"/>
      <c r="AP219" s="253"/>
      <c r="AQ219" s="253"/>
      <c r="AR219" s="253"/>
      <c r="AS219" s="253"/>
      <c r="AT219" s="253"/>
      <c r="AU219" s="253"/>
    </row>
    <row r="220" spans="9:47" ht="19.5" customHeight="1" x14ac:dyDescent="0.25">
      <c r="I220" s="83">
        <v>205</v>
      </c>
      <c r="J220" s="255" t="str">
        <f>IF(I220&lt;=MAX(Forest_data[Age]),I220,"")</f>
        <v/>
      </c>
      <c r="K220" s="256" t="str">
        <f>IF(ISNUMBER(J220),LOOKUP(J220, Forest_data[[#All],[Age]],Forest_data[[#All],[Number of trees per ha]]),"")</f>
        <v/>
      </c>
      <c r="L220" s="257" t="str">
        <f>IF(ISNUMBER(J220),IF(ISNA(VLOOKUP(J220,Forest_data[#All],3,FALSE)),#N/A, VLOOKUP(J220,Forest_data[#All],3,FALSE)),"")</f>
        <v/>
      </c>
      <c r="M220" s="257" t="str">
        <f>IF(ISNUMBER(J220),IF(ISNA(VLOOKUP(J220,Forest_data[#All],4,FALSE)),#N/A, VLOOKUP(J220,Forest_data[#All],4,FALSE)),"")</f>
        <v/>
      </c>
      <c r="N220" s="257" t="str">
        <f>IF(ISNUMBER(J220),IF(ISNA(VLOOKUP(J220,Forest_data[#All],5,FALSE)),#N/A, VLOOKUP(J220,Forest_data[#All],5,FALSE)),"")</f>
        <v/>
      </c>
      <c r="O220" s="257" t="str">
        <f>IF(ISNUMBER(J220),IF(ISNA(VLOOKUP(J220,Forest_data[#All],6,FALSE)),#N/A, VLOOKUP(J220,Forest_data[#All],6,FALSE)),"")</f>
        <v/>
      </c>
      <c r="P220" s="257" t="str">
        <f t="shared" si="31"/>
        <v/>
      </c>
      <c r="Q220" s="257" t="str">
        <f t="shared" si="24"/>
        <v/>
      </c>
      <c r="R220" s="257" t="str">
        <f t="shared" si="29"/>
        <v/>
      </c>
      <c r="S220" s="283" t="str">
        <f t="shared" si="25"/>
        <v/>
      </c>
      <c r="T220" s="258" t="str">
        <f t="shared" si="26"/>
        <v/>
      </c>
      <c r="U220" s="257" t="str">
        <f t="shared" si="27"/>
        <v/>
      </c>
      <c r="V220" s="257" t="str">
        <f t="shared" si="30"/>
        <v/>
      </c>
      <c r="W220" s="283" t="str">
        <f t="shared" si="28"/>
        <v/>
      </c>
      <c r="X220" s="253"/>
      <c r="Y220" s="253"/>
      <c r="Z220" s="253"/>
      <c r="AA220" s="253"/>
      <c r="AB220" s="253"/>
      <c r="AC220" s="253"/>
      <c r="AD220" s="253"/>
      <c r="AE220" s="253"/>
      <c r="AF220" s="253"/>
      <c r="AG220" s="253"/>
      <c r="AH220" s="253"/>
      <c r="AI220" s="253"/>
      <c r="AJ220" s="253"/>
      <c r="AK220" s="253"/>
      <c r="AL220" s="253"/>
      <c r="AM220" s="253"/>
      <c r="AN220" s="253"/>
      <c r="AO220" s="253"/>
      <c r="AP220" s="253"/>
      <c r="AQ220" s="253"/>
      <c r="AR220" s="253"/>
      <c r="AS220" s="253"/>
      <c r="AT220" s="253"/>
      <c r="AU220" s="253"/>
    </row>
    <row r="221" spans="9:47" ht="19.5" customHeight="1" x14ac:dyDescent="0.25">
      <c r="I221" s="83">
        <v>206</v>
      </c>
      <c r="J221" s="255" t="str">
        <f>IF(I221&lt;=MAX(Forest_data[Age]),I221,"")</f>
        <v/>
      </c>
      <c r="K221" s="256" t="str">
        <f>IF(ISNUMBER(J221),LOOKUP(J221, Forest_data[[#All],[Age]],Forest_data[[#All],[Number of trees per ha]]),"")</f>
        <v/>
      </c>
      <c r="L221" s="257" t="str">
        <f>IF(ISNUMBER(J221),IF(ISNA(VLOOKUP(J221,Forest_data[#All],3,FALSE)),#N/A, VLOOKUP(J221,Forest_data[#All],3,FALSE)),"")</f>
        <v/>
      </c>
      <c r="M221" s="257" t="str">
        <f>IF(ISNUMBER(J221),IF(ISNA(VLOOKUP(J221,Forest_data[#All],4,FALSE)),#N/A, VLOOKUP(J221,Forest_data[#All],4,FALSE)),"")</f>
        <v/>
      </c>
      <c r="N221" s="257" t="str">
        <f>IF(ISNUMBER(J221),IF(ISNA(VLOOKUP(J221,Forest_data[#All],5,FALSE)),#N/A, VLOOKUP(J221,Forest_data[#All],5,FALSE)),"")</f>
        <v/>
      </c>
      <c r="O221" s="257" t="str">
        <f>IF(ISNUMBER(J221),IF(ISNA(VLOOKUP(J221,Forest_data[#All],6,FALSE)),#N/A, VLOOKUP(J221,Forest_data[#All],6,FALSE)),"")</f>
        <v/>
      </c>
      <c r="P221" s="257" t="str">
        <f t="shared" si="31"/>
        <v/>
      </c>
      <c r="Q221" s="257" t="str">
        <f t="shared" si="24"/>
        <v/>
      </c>
      <c r="R221" s="257" t="str">
        <f t="shared" si="29"/>
        <v/>
      </c>
      <c r="S221" s="283" t="str">
        <f t="shared" si="25"/>
        <v/>
      </c>
      <c r="T221" s="258" t="str">
        <f t="shared" si="26"/>
        <v/>
      </c>
      <c r="U221" s="257" t="str">
        <f t="shared" si="27"/>
        <v/>
      </c>
      <c r="V221" s="257" t="str">
        <f t="shared" si="30"/>
        <v/>
      </c>
      <c r="W221" s="283" t="str">
        <f t="shared" si="28"/>
        <v/>
      </c>
      <c r="X221" s="253"/>
      <c r="Y221" s="253"/>
      <c r="Z221" s="253"/>
      <c r="AA221" s="253"/>
      <c r="AB221" s="253"/>
      <c r="AC221" s="253"/>
      <c r="AD221" s="253"/>
      <c r="AE221" s="253"/>
      <c r="AF221" s="253"/>
      <c r="AG221" s="253"/>
      <c r="AH221" s="253"/>
      <c r="AI221" s="253"/>
      <c r="AJ221" s="253"/>
      <c r="AK221" s="253"/>
      <c r="AL221" s="253"/>
      <c r="AM221" s="253"/>
      <c r="AN221" s="253"/>
      <c r="AO221" s="253"/>
      <c r="AP221" s="253"/>
      <c r="AQ221" s="253"/>
      <c r="AR221" s="253"/>
      <c r="AS221" s="253"/>
      <c r="AT221" s="253"/>
      <c r="AU221" s="253"/>
    </row>
    <row r="222" spans="9:47" ht="19.5" customHeight="1" x14ac:dyDescent="0.25">
      <c r="I222" s="83">
        <v>207</v>
      </c>
      <c r="J222" s="255" t="str">
        <f>IF(I222&lt;=MAX(Forest_data[Age]),I222,"")</f>
        <v/>
      </c>
      <c r="K222" s="256" t="str">
        <f>IF(ISNUMBER(J222),LOOKUP(J222, Forest_data[[#All],[Age]],Forest_data[[#All],[Number of trees per ha]]),"")</f>
        <v/>
      </c>
      <c r="L222" s="257" t="str">
        <f>IF(ISNUMBER(J222),IF(ISNA(VLOOKUP(J222,Forest_data[#All],3,FALSE)),#N/A, VLOOKUP(J222,Forest_data[#All],3,FALSE)),"")</f>
        <v/>
      </c>
      <c r="M222" s="257" t="str">
        <f>IF(ISNUMBER(J222),IF(ISNA(VLOOKUP(J222,Forest_data[#All],4,FALSE)),#N/A, VLOOKUP(J222,Forest_data[#All],4,FALSE)),"")</f>
        <v/>
      </c>
      <c r="N222" s="257" t="str">
        <f>IF(ISNUMBER(J222),IF(ISNA(VLOOKUP(J222,Forest_data[#All],5,FALSE)),#N/A, VLOOKUP(J222,Forest_data[#All],5,FALSE)),"")</f>
        <v/>
      </c>
      <c r="O222" s="257" t="str">
        <f>IF(ISNUMBER(J222),IF(ISNA(VLOOKUP(J222,Forest_data[#All],6,FALSE)),#N/A, VLOOKUP(J222,Forest_data[#All],6,FALSE)),"")</f>
        <v/>
      </c>
      <c r="P222" s="257" t="str">
        <f t="shared" si="31"/>
        <v/>
      </c>
      <c r="Q222" s="257" t="str">
        <f t="shared" si="24"/>
        <v/>
      </c>
      <c r="R222" s="257" t="str">
        <f t="shared" si="29"/>
        <v/>
      </c>
      <c r="S222" s="283" t="str">
        <f t="shared" si="25"/>
        <v/>
      </c>
      <c r="T222" s="258" t="str">
        <f t="shared" si="26"/>
        <v/>
      </c>
      <c r="U222" s="257" t="str">
        <f t="shared" si="27"/>
        <v/>
      </c>
      <c r="V222" s="257" t="str">
        <f t="shared" si="30"/>
        <v/>
      </c>
      <c r="W222" s="283" t="str">
        <f t="shared" si="28"/>
        <v/>
      </c>
      <c r="X222" s="253"/>
      <c r="Y222" s="253"/>
      <c r="Z222" s="253"/>
      <c r="AA222" s="253"/>
      <c r="AB222" s="253"/>
      <c r="AC222" s="253"/>
      <c r="AD222" s="253"/>
      <c r="AE222" s="253"/>
      <c r="AF222" s="253"/>
      <c r="AG222" s="253"/>
      <c r="AH222" s="253"/>
      <c r="AI222" s="253"/>
      <c r="AJ222" s="253"/>
      <c r="AK222" s="253"/>
      <c r="AL222" s="253"/>
      <c r="AM222" s="253"/>
      <c r="AN222" s="253"/>
      <c r="AO222" s="253"/>
      <c r="AP222" s="253"/>
      <c r="AQ222" s="253"/>
      <c r="AR222" s="253"/>
      <c r="AS222" s="253"/>
      <c r="AT222" s="253"/>
      <c r="AU222" s="253"/>
    </row>
    <row r="223" spans="9:47" ht="19.5" customHeight="1" x14ac:dyDescent="0.25">
      <c r="I223" s="260">
        <v>208</v>
      </c>
      <c r="J223" s="255" t="str">
        <f>IF(I223&lt;=MAX(Forest_data[Age]),I223,"")</f>
        <v/>
      </c>
      <c r="K223" s="256" t="str">
        <f>IF(ISNUMBER(J223),LOOKUP(J223, Forest_data[[#All],[Age]],Forest_data[[#All],[Number of trees per ha]]),"")</f>
        <v/>
      </c>
      <c r="L223" s="257" t="str">
        <f>IF(ISNUMBER(J223),IF(ISNA(VLOOKUP(J223,Forest_data[#All],3,FALSE)),#N/A, VLOOKUP(J223,Forest_data[#All],3,FALSE)),"")</f>
        <v/>
      </c>
      <c r="M223" s="257" t="str">
        <f>IF(ISNUMBER(J223),IF(ISNA(VLOOKUP(J223,Forest_data[#All],4,FALSE)),#N/A, VLOOKUP(J223,Forest_data[#All],4,FALSE)),"")</f>
        <v/>
      </c>
      <c r="N223" s="257" t="str">
        <f>IF(ISNUMBER(J223),IF(ISNA(VLOOKUP(J223,Forest_data[#All],5,FALSE)),#N/A, VLOOKUP(J223,Forest_data[#All],5,FALSE)),"")</f>
        <v/>
      </c>
      <c r="O223" s="257" t="str">
        <f>IF(ISNUMBER(J223),IF(ISNA(VLOOKUP(J223,Forest_data[#All],6,FALSE)),#N/A, VLOOKUP(J223,Forest_data[#All],6,FALSE)),"")</f>
        <v/>
      </c>
      <c r="P223" s="257" t="str">
        <f t="shared" si="31"/>
        <v/>
      </c>
      <c r="Q223" s="257" t="str">
        <f t="shared" si="24"/>
        <v/>
      </c>
      <c r="R223" s="257" t="str">
        <f t="shared" si="29"/>
        <v/>
      </c>
      <c r="S223" s="283" t="str">
        <f t="shared" si="25"/>
        <v/>
      </c>
      <c r="T223" s="258" t="str">
        <f t="shared" si="26"/>
        <v/>
      </c>
      <c r="U223" s="257" t="str">
        <f t="shared" si="27"/>
        <v/>
      </c>
      <c r="V223" s="257" t="str">
        <f t="shared" si="30"/>
        <v/>
      </c>
      <c r="W223" s="283" t="str">
        <f t="shared" si="28"/>
        <v/>
      </c>
      <c r="X223" s="253"/>
      <c r="Y223" s="253"/>
      <c r="Z223" s="253"/>
      <c r="AA223" s="253"/>
      <c r="AB223" s="253"/>
      <c r="AC223" s="253"/>
      <c r="AD223" s="253"/>
      <c r="AE223" s="253"/>
      <c r="AF223" s="253"/>
      <c r="AG223" s="253"/>
      <c r="AH223" s="253"/>
      <c r="AI223" s="253"/>
      <c r="AJ223" s="253"/>
      <c r="AK223" s="253"/>
      <c r="AL223" s="253"/>
      <c r="AM223" s="253"/>
      <c r="AN223" s="253"/>
      <c r="AO223" s="253"/>
      <c r="AP223" s="253"/>
      <c r="AQ223" s="253"/>
      <c r="AR223" s="253"/>
      <c r="AS223" s="253"/>
      <c r="AT223" s="253"/>
      <c r="AU223" s="253"/>
    </row>
    <row r="224" spans="9:47" ht="19.5" customHeight="1" x14ac:dyDescent="0.25">
      <c r="I224" s="83">
        <v>209</v>
      </c>
      <c r="J224" s="255" t="str">
        <f>IF(I224&lt;=MAX(Forest_data[Age]),I224,"")</f>
        <v/>
      </c>
      <c r="K224" s="256" t="str">
        <f>IF(ISNUMBER(J224),LOOKUP(J224, Forest_data[[#All],[Age]],Forest_data[[#All],[Number of trees per ha]]),"")</f>
        <v/>
      </c>
      <c r="L224" s="257" t="str">
        <f>IF(ISNUMBER(J224),IF(ISNA(VLOOKUP(J224,Forest_data[#All],3,FALSE)),#N/A, VLOOKUP(J224,Forest_data[#All],3,FALSE)),"")</f>
        <v/>
      </c>
      <c r="M224" s="257" t="str">
        <f>IF(ISNUMBER(J224),IF(ISNA(VLOOKUP(J224,Forest_data[#All],4,FALSE)),#N/A, VLOOKUP(J224,Forest_data[#All],4,FALSE)),"")</f>
        <v/>
      </c>
      <c r="N224" s="257" t="str">
        <f>IF(ISNUMBER(J224),IF(ISNA(VLOOKUP(J224,Forest_data[#All],5,FALSE)),#N/A, VLOOKUP(J224,Forest_data[#All],5,FALSE)),"")</f>
        <v/>
      </c>
      <c r="O224" s="257" t="str">
        <f>IF(ISNUMBER(J224),IF(ISNA(VLOOKUP(J224,Forest_data[#All],6,FALSE)),#N/A, VLOOKUP(J224,Forest_data[#All],6,FALSE)),"")</f>
        <v/>
      </c>
      <c r="P224" s="257" t="str">
        <f t="shared" si="31"/>
        <v/>
      </c>
      <c r="Q224" s="257" t="str">
        <f t="shared" si="24"/>
        <v/>
      </c>
      <c r="R224" s="257" t="str">
        <f t="shared" si="29"/>
        <v/>
      </c>
      <c r="S224" s="283" t="str">
        <f t="shared" si="25"/>
        <v/>
      </c>
      <c r="T224" s="258" t="str">
        <f t="shared" si="26"/>
        <v/>
      </c>
      <c r="U224" s="257" t="str">
        <f t="shared" si="27"/>
        <v/>
      </c>
      <c r="V224" s="257" t="str">
        <f t="shared" si="30"/>
        <v/>
      </c>
      <c r="W224" s="283" t="str">
        <f t="shared" si="28"/>
        <v/>
      </c>
      <c r="X224" s="253"/>
      <c r="Y224" s="253"/>
      <c r="Z224" s="253"/>
      <c r="AA224" s="253"/>
      <c r="AB224" s="253"/>
      <c r="AC224" s="253"/>
      <c r="AD224" s="253"/>
      <c r="AE224" s="253"/>
      <c r="AF224" s="253"/>
      <c r="AG224" s="253"/>
      <c r="AH224" s="253"/>
      <c r="AI224" s="253"/>
      <c r="AJ224" s="253"/>
      <c r="AK224" s="253"/>
      <c r="AL224" s="253"/>
      <c r="AM224" s="253"/>
      <c r="AN224" s="253"/>
      <c r="AO224" s="253"/>
      <c r="AP224" s="253"/>
      <c r="AQ224" s="253"/>
      <c r="AR224" s="253"/>
      <c r="AS224" s="253"/>
      <c r="AT224" s="253"/>
      <c r="AU224" s="253"/>
    </row>
    <row r="225" spans="9:47" ht="19.5" customHeight="1" x14ac:dyDescent="0.25">
      <c r="I225" s="83">
        <v>210</v>
      </c>
      <c r="J225" s="255" t="str">
        <f>IF(I225&lt;=MAX(Forest_data[Age]),I225,"")</f>
        <v/>
      </c>
      <c r="K225" s="256" t="str">
        <f>IF(ISNUMBER(J225),LOOKUP(J225, Forest_data[[#All],[Age]],Forest_data[[#All],[Number of trees per ha]]),"")</f>
        <v/>
      </c>
      <c r="L225" s="257" t="str">
        <f>IF(ISNUMBER(J225),IF(ISNA(VLOOKUP(J225,Forest_data[#All],3,FALSE)),#N/A, VLOOKUP(J225,Forest_data[#All],3,FALSE)),"")</f>
        <v/>
      </c>
      <c r="M225" s="257" t="str">
        <f>IF(ISNUMBER(J225),IF(ISNA(VLOOKUP(J225,Forest_data[#All],4,FALSE)),#N/A, VLOOKUP(J225,Forest_data[#All],4,FALSE)),"")</f>
        <v/>
      </c>
      <c r="N225" s="257" t="str">
        <f>IF(ISNUMBER(J225),IF(ISNA(VLOOKUP(J225,Forest_data[#All],5,FALSE)),#N/A, VLOOKUP(J225,Forest_data[#All],5,FALSE)),"")</f>
        <v/>
      </c>
      <c r="O225" s="257" t="str">
        <f>IF(ISNUMBER(J225),IF(ISNA(VLOOKUP(J225,Forest_data[#All],6,FALSE)),#N/A, VLOOKUP(J225,Forest_data[#All],6,FALSE)),"")</f>
        <v/>
      </c>
      <c r="P225" s="257" t="str">
        <f t="shared" si="31"/>
        <v/>
      </c>
      <c r="Q225" s="257" t="str">
        <f t="shared" si="24"/>
        <v/>
      </c>
      <c r="R225" s="257" t="str">
        <f t="shared" si="29"/>
        <v/>
      </c>
      <c r="S225" s="283" t="str">
        <f t="shared" si="25"/>
        <v/>
      </c>
      <c r="T225" s="258" t="str">
        <f t="shared" si="26"/>
        <v/>
      </c>
      <c r="U225" s="257" t="str">
        <f t="shared" si="27"/>
        <v/>
      </c>
      <c r="V225" s="257" t="str">
        <f t="shared" si="30"/>
        <v/>
      </c>
      <c r="W225" s="283" t="str">
        <f t="shared" si="28"/>
        <v/>
      </c>
      <c r="X225" s="253"/>
      <c r="Y225" s="253"/>
      <c r="Z225" s="253"/>
      <c r="AA225" s="253"/>
      <c r="AB225" s="253"/>
      <c r="AC225" s="253"/>
      <c r="AD225" s="253"/>
      <c r="AE225" s="253"/>
      <c r="AF225" s="253"/>
      <c r="AG225" s="253"/>
      <c r="AH225" s="253"/>
      <c r="AI225" s="253"/>
      <c r="AJ225" s="253"/>
      <c r="AK225" s="253"/>
      <c r="AL225" s="253"/>
      <c r="AM225" s="253"/>
      <c r="AN225" s="253"/>
      <c r="AO225" s="253"/>
      <c r="AP225" s="253"/>
      <c r="AQ225" s="253"/>
      <c r="AR225" s="253"/>
      <c r="AS225" s="253"/>
      <c r="AT225" s="253"/>
      <c r="AU225" s="253"/>
    </row>
    <row r="226" spans="9:47" ht="19.5" customHeight="1" x14ac:dyDescent="0.25">
      <c r="I226" s="83">
        <v>211</v>
      </c>
      <c r="J226" s="255" t="str">
        <f>IF(I226&lt;=MAX(Forest_data[Age]),I226,"")</f>
        <v/>
      </c>
      <c r="K226" s="256" t="str">
        <f>IF(ISNUMBER(J226),LOOKUP(J226, Forest_data[[#All],[Age]],Forest_data[[#All],[Number of trees per ha]]),"")</f>
        <v/>
      </c>
      <c r="L226" s="257" t="str">
        <f>IF(ISNUMBER(J226),IF(ISNA(VLOOKUP(J226,Forest_data[#All],3,FALSE)),#N/A, VLOOKUP(J226,Forest_data[#All],3,FALSE)),"")</f>
        <v/>
      </c>
      <c r="M226" s="257" t="str">
        <f>IF(ISNUMBER(J226),IF(ISNA(VLOOKUP(J226,Forest_data[#All],4,FALSE)),#N/A, VLOOKUP(J226,Forest_data[#All],4,FALSE)),"")</f>
        <v/>
      </c>
      <c r="N226" s="257" t="str">
        <f>IF(ISNUMBER(J226),IF(ISNA(VLOOKUP(J226,Forest_data[#All],5,FALSE)),#N/A, VLOOKUP(J226,Forest_data[#All],5,FALSE)),"")</f>
        <v/>
      </c>
      <c r="O226" s="257" t="str">
        <f>IF(ISNUMBER(J226),IF(ISNA(VLOOKUP(J226,Forest_data[#All],6,FALSE)),#N/A, VLOOKUP(J226,Forest_data[#All],6,FALSE)),"")</f>
        <v/>
      </c>
      <c r="P226" s="257" t="str">
        <f t="shared" si="31"/>
        <v/>
      </c>
      <c r="Q226" s="257" t="str">
        <f t="shared" si="24"/>
        <v/>
      </c>
      <c r="R226" s="257" t="str">
        <f t="shared" si="29"/>
        <v/>
      </c>
      <c r="S226" s="283" t="str">
        <f t="shared" si="25"/>
        <v/>
      </c>
      <c r="T226" s="258" t="str">
        <f t="shared" si="26"/>
        <v/>
      </c>
      <c r="U226" s="257" t="str">
        <f t="shared" si="27"/>
        <v/>
      </c>
      <c r="V226" s="257" t="str">
        <f t="shared" si="30"/>
        <v/>
      </c>
      <c r="W226" s="283" t="str">
        <f t="shared" si="28"/>
        <v/>
      </c>
      <c r="X226" s="253"/>
      <c r="Y226" s="253"/>
      <c r="Z226" s="253"/>
      <c r="AA226" s="253"/>
      <c r="AB226" s="253"/>
      <c r="AC226" s="253"/>
      <c r="AD226" s="253"/>
      <c r="AE226" s="253"/>
      <c r="AF226" s="253"/>
      <c r="AG226" s="253"/>
      <c r="AH226" s="253"/>
      <c r="AI226" s="253"/>
      <c r="AJ226" s="253"/>
      <c r="AK226" s="253"/>
      <c r="AL226" s="253"/>
      <c r="AM226" s="253"/>
      <c r="AN226" s="253"/>
      <c r="AO226" s="253"/>
      <c r="AP226" s="253"/>
      <c r="AQ226" s="253"/>
      <c r="AR226" s="253"/>
      <c r="AS226" s="253"/>
      <c r="AT226" s="253"/>
      <c r="AU226" s="253"/>
    </row>
    <row r="227" spans="9:47" ht="19.5" customHeight="1" x14ac:dyDescent="0.25">
      <c r="I227" s="83">
        <v>212</v>
      </c>
      <c r="J227" s="255" t="str">
        <f>IF(I227&lt;=MAX(Forest_data[Age]),I227,"")</f>
        <v/>
      </c>
      <c r="K227" s="256" t="str">
        <f>IF(ISNUMBER(J227),LOOKUP(J227, Forest_data[[#All],[Age]],Forest_data[[#All],[Number of trees per ha]]),"")</f>
        <v/>
      </c>
      <c r="L227" s="257" t="str">
        <f>IF(ISNUMBER(J227),IF(ISNA(VLOOKUP(J227,Forest_data[#All],3,FALSE)),#N/A, VLOOKUP(J227,Forest_data[#All],3,FALSE)),"")</f>
        <v/>
      </c>
      <c r="M227" s="257" t="str">
        <f>IF(ISNUMBER(J227),IF(ISNA(VLOOKUP(J227,Forest_data[#All],4,FALSE)),#N/A, VLOOKUP(J227,Forest_data[#All],4,FALSE)),"")</f>
        <v/>
      </c>
      <c r="N227" s="257" t="str">
        <f>IF(ISNUMBER(J227),IF(ISNA(VLOOKUP(J227,Forest_data[#All],5,FALSE)),#N/A, VLOOKUP(J227,Forest_data[#All],5,FALSE)),"")</f>
        <v/>
      </c>
      <c r="O227" s="257" t="str">
        <f>IF(ISNUMBER(J227),IF(ISNA(VLOOKUP(J227,Forest_data[#All],6,FALSE)),#N/A, VLOOKUP(J227,Forest_data[#All],6,FALSE)),"")</f>
        <v/>
      </c>
      <c r="P227" s="257" t="str">
        <f t="shared" si="31"/>
        <v/>
      </c>
      <c r="Q227" s="257" t="str">
        <f t="shared" si="24"/>
        <v/>
      </c>
      <c r="R227" s="257" t="str">
        <f t="shared" si="29"/>
        <v/>
      </c>
      <c r="S227" s="283" t="str">
        <f t="shared" si="25"/>
        <v/>
      </c>
      <c r="T227" s="258" t="str">
        <f t="shared" si="26"/>
        <v/>
      </c>
      <c r="U227" s="257" t="str">
        <f t="shared" si="27"/>
        <v/>
      </c>
      <c r="V227" s="257" t="str">
        <f t="shared" si="30"/>
        <v/>
      </c>
      <c r="W227" s="283" t="str">
        <f t="shared" si="28"/>
        <v/>
      </c>
      <c r="X227" s="253"/>
      <c r="Y227" s="253"/>
      <c r="Z227" s="253"/>
      <c r="AA227" s="253"/>
      <c r="AB227" s="253"/>
      <c r="AC227" s="253"/>
      <c r="AD227" s="253"/>
      <c r="AE227" s="253"/>
      <c r="AF227" s="253"/>
      <c r="AG227" s="253"/>
      <c r="AH227" s="253"/>
      <c r="AI227" s="253"/>
      <c r="AJ227" s="253"/>
      <c r="AK227" s="253"/>
      <c r="AL227" s="253"/>
      <c r="AM227" s="253"/>
      <c r="AN227" s="253"/>
      <c r="AO227" s="253"/>
      <c r="AP227" s="253"/>
      <c r="AQ227" s="253"/>
      <c r="AR227" s="253"/>
      <c r="AS227" s="253"/>
      <c r="AT227" s="253"/>
      <c r="AU227" s="253"/>
    </row>
    <row r="228" spans="9:47" ht="19.5" customHeight="1" x14ac:dyDescent="0.25">
      <c r="I228" s="260">
        <v>213</v>
      </c>
      <c r="J228" s="255" t="str">
        <f>IF(I228&lt;=MAX(Forest_data[Age]),I228,"")</f>
        <v/>
      </c>
      <c r="K228" s="256" t="str">
        <f>IF(ISNUMBER(J228),LOOKUP(J228, Forest_data[[#All],[Age]],Forest_data[[#All],[Number of trees per ha]]),"")</f>
        <v/>
      </c>
      <c r="L228" s="257" t="str">
        <f>IF(ISNUMBER(J228),IF(ISNA(VLOOKUP(J228,Forest_data[#All],3,FALSE)),#N/A, VLOOKUP(J228,Forest_data[#All],3,FALSE)),"")</f>
        <v/>
      </c>
      <c r="M228" s="257" t="str">
        <f>IF(ISNUMBER(J228),IF(ISNA(VLOOKUP(J228,Forest_data[#All],4,FALSE)),#N/A, VLOOKUP(J228,Forest_data[#All],4,FALSE)),"")</f>
        <v/>
      </c>
      <c r="N228" s="257" t="str">
        <f>IF(ISNUMBER(J228),IF(ISNA(VLOOKUP(J228,Forest_data[#All],5,FALSE)),#N/A, VLOOKUP(J228,Forest_data[#All],5,FALSE)),"")</f>
        <v/>
      </c>
      <c r="O228" s="257" t="str">
        <f>IF(ISNUMBER(J228),IF(ISNA(VLOOKUP(J228,Forest_data[#All],6,FALSE)),#N/A, VLOOKUP(J228,Forest_data[#All],6,FALSE)),"")</f>
        <v/>
      </c>
      <c r="P228" s="257" t="str">
        <f t="shared" si="31"/>
        <v/>
      </c>
      <c r="Q228" s="257" t="str">
        <f t="shared" si="24"/>
        <v/>
      </c>
      <c r="R228" s="257" t="str">
        <f t="shared" si="29"/>
        <v/>
      </c>
      <c r="S228" s="283" t="str">
        <f t="shared" si="25"/>
        <v/>
      </c>
      <c r="T228" s="258" t="str">
        <f t="shared" si="26"/>
        <v/>
      </c>
      <c r="U228" s="257" t="str">
        <f t="shared" si="27"/>
        <v/>
      </c>
      <c r="V228" s="257" t="str">
        <f t="shared" si="30"/>
        <v/>
      </c>
      <c r="W228" s="283" t="str">
        <f t="shared" si="28"/>
        <v/>
      </c>
      <c r="X228" s="253"/>
      <c r="Y228" s="253"/>
      <c r="Z228" s="253"/>
      <c r="AA228" s="253"/>
      <c r="AB228" s="253"/>
      <c r="AC228" s="253"/>
      <c r="AD228" s="253"/>
      <c r="AE228" s="253"/>
      <c r="AF228" s="253"/>
      <c r="AG228" s="253"/>
      <c r="AH228" s="253"/>
      <c r="AI228" s="253"/>
      <c r="AJ228" s="253"/>
      <c r="AK228" s="253"/>
      <c r="AL228" s="253"/>
      <c r="AM228" s="253"/>
      <c r="AN228" s="253"/>
      <c r="AO228" s="253"/>
      <c r="AP228" s="253"/>
      <c r="AQ228" s="253"/>
      <c r="AR228" s="253"/>
      <c r="AS228" s="253"/>
      <c r="AT228" s="253"/>
      <c r="AU228" s="253"/>
    </row>
    <row r="229" spans="9:47" ht="19.5" customHeight="1" x14ac:dyDescent="0.25">
      <c r="I229" s="83">
        <v>214</v>
      </c>
      <c r="J229" s="255" t="str">
        <f>IF(I229&lt;=MAX(Forest_data[Age]),I229,"")</f>
        <v/>
      </c>
      <c r="K229" s="256" t="str">
        <f>IF(ISNUMBER(J229),LOOKUP(J229, Forest_data[[#All],[Age]],Forest_data[[#All],[Number of trees per ha]]),"")</f>
        <v/>
      </c>
      <c r="L229" s="257" t="str">
        <f>IF(ISNUMBER(J229),IF(ISNA(VLOOKUP(J229,Forest_data[#All],3,FALSE)),#N/A, VLOOKUP(J229,Forest_data[#All],3,FALSE)),"")</f>
        <v/>
      </c>
      <c r="M229" s="257" t="str">
        <f>IF(ISNUMBER(J229),IF(ISNA(VLOOKUP(J229,Forest_data[#All],4,FALSE)),#N/A, VLOOKUP(J229,Forest_data[#All],4,FALSE)),"")</f>
        <v/>
      </c>
      <c r="N229" s="257" t="str">
        <f>IF(ISNUMBER(J229),IF(ISNA(VLOOKUP(J229,Forest_data[#All],5,FALSE)),#N/A, VLOOKUP(J229,Forest_data[#All],5,FALSE)),"")</f>
        <v/>
      </c>
      <c r="O229" s="257" t="str">
        <f>IF(ISNUMBER(J229),IF(ISNA(VLOOKUP(J229,Forest_data[#All],6,FALSE)),#N/A, VLOOKUP(J229,Forest_data[#All],6,FALSE)),"")</f>
        <v/>
      </c>
      <c r="P229" s="257" t="str">
        <f t="shared" si="31"/>
        <v/>
      </c>
      <c r="Q229" s="257" t="str">
        <f t="shared" si="24"/>
        <v/>
      </c>
      <c r="R229" s="257" t="str">
        <f t="shared" si="29"/>
        <v/>
      </c>
      <c r="S229" s="283" t="str">
        <f t="shared" si="25"/>
        <v/>
      </c>
      <c r="T229" s="258" t="str">
        <f t="shared" si="26"/>
        <v/>
      </c>
      <c r="U229" s="257" t="str">
        <f t="shared" si="27"/>
        <v/>
      </c>
      <c r="V229" s="257" t="str">
        <f t="shared" si="30"/>
        <v/>
      </c>
      <c r="W229" s="283" t="str">
        <f t="shared" si="28"/>
        <v/>
      </c>
      <c r="X229" s="253"/>
      <c r="Y229" s="253"/>
      <c r="Z229" s="253"/>
      <c r="AA229" s="253"/>
      <c r="AB229" s="253"/>
      <c r="AC229" s="253"/>
      <c r="AD229" s="253"/>
      <c r="AE229" s="253"/>
      <c r="AF229" s="253"/>
      <c r="AG229" s="253"/>
      <c r="AH229" s="253"/>
      <c r="AI229" s="253"/>
      <c r="AJ229" s="253"/>
      <c r="AK229" s="253"/>
      <c r="AL229" s="253"/>
      <c r="AM229" s="253"/>
      <c r="AN229" s="253"/>
      <c r="AO229" s="253"/>
      <c r="AP229" s="253"/>
      <c r="AQ229" s="253"/>
      <c r="AR229" s="253"/>
      <c r="AS229" s="253"/>
      <c r="AT229" s="253"/>
      <c r="AU229" s="253"/>
    </row>
    <row r="230" spans="9:47" ht="19.5" customHeight="1" x14ac:dyDescent="0.25">
      <c r="I230" s="83">
        <v>215</v>
      </c>
      <c r="J230" s="255" t="str">
        <f>IF(I230&lt;=MAX(Forest_data[Age]),I230,"")</f>
        <v/>
      </c>
      <c r="K230" s="256" t="str">
        <f>IF(ISNUMBER(J230),LOOKUP(J230, Forest_data[[#All],[Age]],Forest_data[[#All],[Number of trees per ha]]),"")</f>
        <v/>
      </c>
      <c r="L230" s="257" t="str">
        <f>IF(ISNUMBER(J230),IF(ISNA(VLOOKUP(J230,Forest_data[#All],3,FALSE)),#N/A, VLOOKUP(J230,Forest_data[#All],3,FALSE)),"")</f>
        <v/>
      </c>
      <c r="M230" s="257" t="str">
        <f>IF(ISNUMBER(J230),IF(ISNA(VLOOKUP(J230,Forest_data[#All],4,FALSE)),#N/A, VLOOKUP(J230,Forest_data[#All],4,FALSE)),"")</f>
        <v/>
      </c>
      <c r="N230" s="257" t="str">
        <f>IF(ISNUMBER(J230),IF(ISNA(VLOOKUP(J230,Forest_data[#All],5,FALSE)),#N/A, VLOOKUP(J230,Forest_data[#All],5,FALSE)),"")</f>
        <v/>
      </c>
      <c r="O230" s="257" t="str">
        <f>IF(ISNUMBER(J230),IF(ISNA(VLOOKUP(J230,Forest_data[#All],6,FALSE)),#N/A, VLOOKUP(J230,Forest_data[#All],6,FALSE)),"")</f>
        <v/>
      </c>
      <c r="P230" s="257" t="str">
        <f t="shared" si="31"/>
        <v/>
      </c>
      <c r="Q230" s="257" t="str">
        <f t="shared" si="24"/>
        <v/>
      </c>
      <c r="R230" s="257" t="str">
        <f t="shared" si="29"/>
        <v/>
      </c>
      <c r="S230" s="283" t="str">
        <f t="shared" si="25"/>
        <v/>
      </c>
      <c r="T230" s="258" t="str">
        <f t="shared" si="26"/>
        <v/>
      </c>
      <c r="U230" s="257" t="str">
        <f t="shared" si="27"/>
        <v/>
      </c>
      <c r="V230" s="257" t="str">
        <f t="shared" si="30"/>
        <v/>
      </c>
      <c r="W230" s="283" t="str">
        <f t="shared" si="28"/>
        <v/>
      </c>
      <c r="X230" s="253"/>
      <c r="Y230" s="253"/>
      <c r="Z230" s="253"/>
      <c r="AA230" s="253"/>
      <c r="AB230" s="253"/>
      <c r="AC230" s="253"/>
      <c r="AD230" s="253"/>
      <c r="AE230" s="253"/>
      <c r="AF230" s="253"/>
      <c r="AG230" s="253"/>
      <c r="AH230" s="253"/>
      <c r="AI230" s="253"/>
      <c r="AJ230" s="253"/>
      <c r="AK230" s="253"/>
      <c r="AL230" s="253"/>
      <c r="AM230" s="253"/>
      <c r="AN230" s="253"/>
      <c r="AO230" s="253"/>
      <c r="AP230" s="253"/>
      <c r="AQ230" s="253"/>
      <c r="AR230" s="253"/>
      <c r="AS230" s="253"/>
      <c r="AT230" s="253"/>
      <c r="AU230" s="253"/>
    </row>
    <row r="231" spans="9:47" ht="19.5" customHeight="1" x14ac:dyDescent="0.25">
      <c r="I231" s="83">
        <v>216</v>
      </c>
      <c r="J231" s="255" t="str">
        <f>IF(I231&lt;=MAX(Forest_data[Age]),I231,"")</f>
        <v/>
      </c>
      <c r="K231" s="256" t="str">
        <f>IF(ISNUMBER(J231),LOOKUP(J231, Forest_data[[#All],[Age]],Forest_data[[#All],[Number of trees per ha]]),"")</f>
        <v/>
      </c>
      <c r="L231" s="257" t="str">
        <f>IF(ISNUMBER(J231),IF(ISNA(VLOOKUP(J231,Forest_data[#All],3,FALSE)),#N/A, VLOOKUP(J231,Forest_data[#All],3,FALSE)),"")</f>
        <v/>
      </c>
      <c r="M231" s="257" t="str">
        <f>IF(ISNUMBER(J231),IF(ISNA(VLOOKUP(J231,Forest_data[#All],4,FALSE)),#N/A, VLOOKUP(J231,Forest_data[#All],4,FALSE)),"")</f>
        <v/>
      </c>
      <c r="N231" s="257" t="str">
        <f>IF(ISNUMBER(J231),IF(ISNA(VLOOKUP(J231,Forest_data[#All],5,FALSE)),#N/A, VLOOKUP(J231,Forest_data[#All],5,FALSE)),"")</f>
        <v/>
      </c>
      <c r="O231" s="257" t="str">
        <f>IF(ISNUMBER(J231),IF(ISNA(VLOOKUP(J231,Forest_data[#All],6,FALSE)),#N/A, VLOOKUP(J231,Forest_data[#All],6,FALSE)),"")</f>
        <v/>
      </c>
      <c r="P231" s="257" t="str">
        <f t="shared" si="31"/>
        <v/>
      </c>
      <c r="Q231" s="257" t="str">
        <f t="shared" si="24"/>
        <v/>
      </c>
      <c r="R231" s="257" t="str">
        <f t="shared" si="29"/>
        <v/>
      </c>
      <c r="S231" s="283" t="str">
        <f t="shared" si="25"/>
        <v/>
      </c>
      <c r="T231" s="258" t="str">
        <f t="shared" si="26"/>
        <v/>
      </c>
      <c r="U231" s="257" t="str">
        <f t="shared" si="27"/>
        <v/>
      </c>
      <c r="V231" s="257" t="str">
        <f t="shared" si="30"/>
        <v/>
      </c>
      <c r="W231" s="283" t="str">
        <f t="shared" si="28"/>
        <v/>
      </c>
      <c r="X231" s="253"/>
      <c r="Y231" s="253"/>
      <c r="Z231" s="253"/>
      <c r="AA231" s="253"/>
      <c r="AB231" s="253"/>
      <c r="AC231" s="253"/>
      <c r="AD231" s="253"/>
      <c r="AE231" s="253"/>
      <c r="AF231" s="253"/>
      <c r="AG231" s="253"/>
      <c r="AH231" s="253"/>
      <c r="AI231" s="253"/>
      <c r="AJ231" s="253"/>
      <c r="AK231" s="253"/>
      <c r="AL231" s="253"/>
      <c r="AM231" s="253"/>
      <c r="AN231" s="253"/>
      <c r="AO231" s="253"/>
      <c r="AP231" s="253"/>
      <c r="AQ231" s="253"/>
      <c r="AR231" s="253"/>
      <c r="AS231" s="253"/>
      <c r="AT231" s="253"/>
      <c r="AU231" s="253"/>
    </row>
    <row r="232" spans="9:47" ht="19.5" customHeight="1" x14ac:dyDescent="0.25">
      <c r="I232" s="260">
        <v>217</v>
      </c>
      <c r="J232" s="255" t="str">
        <f>IF(I232&lt;=MAX(Forest_data[Age]),I232,"")</f>
        <v/>
      </c>
      <c r="K232" s="256" t="str">
        <f>IF(ISNUMBER(J232),LOOKUP(J232, Forest_data[[#All],[Age]],Forest_data[[#All],[Number of trees per ha]]),"")</f>
        <v/>
      </c>
      <c r="L232" s="257" t="str">
        <f>IF(ISNUMBER(J232),IF(ISNA(VLOOKUP(J232,Forest_data[#All],3,FALSE)),#N/A, VLOOKUP(J232,Forest_data[#All],3,FALSE)),"")</f>
        <v/>
      </c>
      <c r="M232" s="257" t="str">
        <f>IF(ISNUMBER(J232),IF(ISNA(VLOOKUP(J232,Forest_data[#All],4,FALSE)),#N/A, VLOOKUP(J232,Forest_data[#All],4,FALSE)),"")</f>
        <v/>
      </c>
      <c r="N232" s="257" t="str">
        <f>IF(ISNUMBER(J232),IF(ISNA(VLOOKUP(J232,Forest_data[#All],5,FALSE)),#N/A, VLOOKUP(J232,Forest_data[#All],5,FALSE)),"")</f>
        <v/>
      </c>
      <c r="O232" s="257" t="str">
        <f>IF(ISNUMBER(J232),IF(ISNA(VLOOKUP(J232,Forest_data[#All],6,FALSE)),#N/A, VLOOKUP(J232,Forest_data[#All],6,FALSE)),"")</f>
        <v/>
      </c>
      <c r="P232" s="257" t="str">
        <f t="shared" si="31"/>
        <v/>
      </c>
      <c r="Q232" s="257" t="str">
        <f t="shared" si="24"/>
        <v/>
      </c>
      <c r="R232" s="257" t="str">
        <f t="shared" si="29"/>
        <v/>
      </c>
      <c r="S232" s="283" t="str">
        <f t="shared" si="25"/>
        <v/>
      </c>
      <c r="T232" s="258" t="str">
        <f t="shared" si="26"/>
        <v/>
      </c>
      <c r="U232" s="257" t="str">
        <f t="shared" si="27"/>
        <v/>
      </c>
      <c r="V232" s="257" t="str">
        <f t="shared" si="30"/>
        <v/>
      </c>
      <c r="W232" s="283" t="str">
        <f t="shared" si="28"/>
        <v/>
      </c>
      <c r="X232" s="253"/>
      <c r="Y232" s="253"/>
      <c r="Z232" s="253"/>
      <c r="AA232" s="253"/>
      <c r="AB232" s="253"/>
      <c r="AC232" s="253"/>
      <c r="AD232" s="253"/>
      <c r="AE232" s="253"/>
      <c r="AF232" s="253"/>
      <c r="AG232" s="253"/>
      <c r="AH232" s="253"/>
      <c r="AI232" s="253"/>
      <c r="AJ232" s="253"/>
      <c r="AK232" s="253"/>
      <c r="AL232" s="253"/>
      <c r="AM232" s="253"/>
      <c r="AN232" s="253"/>
      <c r="AO232" s="253"/>
      <c r="AP232" s="253"/>
      <c r="AQ232" s="253"/>
      <c r="AR232" s="253"/>
      <c r="AS232" s="253"/>
      <c r="AT232" s="253"/>
      <c r="AU232" s="253"/>
    </row>
    <row r="233" spans="9:47" ht="19.5" customHeight="1" x14ac:dyDescent="0.25">
      <c r="I233" s="83">
        <v>218</v>
      </c>
      <c r="J233" s="255" t="str">
        <f>IF(I233&lt;=MAX(Forest_data[Age]),I233,"")</f>
        <v/>
      </c>
      <c r="K233" s="256" t="str">
        <f>IF(ISNUMBER(J233),LOOKUP(J233, Forest_data[[#All],[Age]],Forest_data[[#All],[Number of trees per ha]]),"")</f>
        <v/>
      </c>
      <c r="L233" s="257" t="str">
        <f>IF(ISNUMBER(J233),IF(ISNA(VLOOKUP(J233,Forest_data[#All],3,FALSE)),#N/A, VLOOKUP(J233,Forest_data[#All],3,FALSE)),"")</f>
        <v/>
      </c>
      <c r="M233" s="257" t="str">
        <f>IF(ISNUMBER(J233),IF(ISNA(VLOOKUP(J233,Forest_data[#All],4,FALSE)),#N/A, VLOOKUP(J233,Forest_data[#All],4,FALSE)),"")</f>
        <v/>
      </c>
      <c r="N233" s="257" t="str">
        <f>IF(ISNUMBER(J233),IF(ISNA(VLOOKUP(J233,Forest_data[#All],5,FALSE)),#N/A, VLOOKUP(J233,Forest_data[#All],5,FALSE)),"")</f>
        <v/>
      </c>
      <c r="O233" s="257" t="str">
        <f>IF(ISNUMBER(J233),IF(ISNA(VLOOKUP(J233,Forest_data[#All],6,FALSE)),#N/A, VLOOKUP(J233,Forest_data[#All],6,FALSE)),"")</f>
        <v/>
      </c>
      <c r="P233" s="257" t="str">
        <f t="shared" si="31"/>
        <v/>
      </c>
      <c r="Q233" s="257" t="str">
        <f t="shared" si="24"/>
        <v/>
      </c>
      <c r="R233" s="257" t="str">
        <f t="shared" si="29"/>
        <v/>
      </c>
      <c r="S233" s="283" t="str">
        <f t="shared" si="25"/>
        <v/>
      </c>
      <c r="T233" s="258" t="str">
        <f t="shared" si="26"/>
        <v/>
      </c>
      <c r="U233" s="257" t="str">
        <f t="shared" si="27"/>
        <v/>
      </c>
      <c r="V233" s="257" t="str">
        <f t="shared" si="30"/>
        <v/>
      </c>
      <c r="W233" s="283" t="str">
        <f t="shared" si="28"/>
        <v/>
      </c>
      <c r="X233" s="253"/>
      <c r="Y233" s="253"/>
      <c r="Z233" s="253"/>
      <c r="AA233" s="253"/>
      <c r="AB233" s="253"/>
      <c r="AC233" s="253"/>
      <c r="AD233" s="253"/>
      <c r="AE233" s="253"/>
      <c r="AF233" s="253"/>
      <c r="AG233" s="253"/>
      <c r="AH233" s="253"/>
      <c r="AI233" s="253"/>
      <c r="AJ233" s="253"/>
      <c r="AK233" s="253"/>
      <c r="AL233" s="253"/>
      <c r="AM233" s="253"/>
      <c r="AN233" s="253"/>
      <c r="AO233" s="253"/>
      <c r="AP233" s="253"/>
      <c r="AQ233" s="253"/>
      <c r="AR233" s="253"/>
      <c r="AS233" s="253"/>
      <c r="AT233" s="253"/>
      <c r="AU233" s="253"/>
    </row>
    <row r="234" spans="9:47" ht="19.5" customHeight="1" x14ac:dyDescent="0.25">
      <c r="I234" s="83">
        <v>219</v>
      </c>
      <c r="J234" s="255" t="str">
        <f>IF(I234&lt;=MAX(Forest_data[Age]),I234,"")</f>
        <v/>
      </c>
      <c r="K234" s="256" t="str">
        <f>IF(ISNUMBER(J234),LOOKUP(J234, Forest_data[[#All],[Age]],Forest_data[[#All],[Number of trees per ha]]),"")</f>
        <v/>
      </c>
      <c r="L234" s="257" t="str">
        <f>IF(ISNUMBER(J234),IF(ISNA(VLOOKUP(J234,Forest_data[#All],3,FALSE)),#N/A, VLOOKUP(J234,Forest_data[#All],3,FALSE)),"")</f>
        <v/>
      </c>
      <c r="M234" s="257" t="str">
        <f>IF(ISNUMBER(J234),IF(ISNA(VLOOKUP(J234,Forest_data[#All],4,FALSE)),#N/A, VLOOKUP(J234,Forest_data[#All],4,FALSE)),"")</f>
        <v/>
      </c>
      <c r="N234" s="257" t="str">
        <f>IF(ISNUMBER(J234),IF(ISNA(VLOOKUP(J234,Forest_data[#All],5,FALSE)),#N/A, VLOOKUP(J234,Forest_data[#All],5,FALSE)),"")</f>
        <v/>
      </c>
      <c r="O234" s="257" t="str">
        <f>IF(ISNUMBER(J234),IF(ISNA(VLOOKUP(J234,Forest_data[#All],6,FALSE)),#N/A, VLOOKUP(J234,Forest_data[#All],6,FALSE)),"")</f>
        <v/>
      </c>
      <c r="P234" s="257" t="str">
        <f t="shared" si="31"/>
        <v/>
      </c>
      <c r="Q234" s="257" t="str">
        <f t="shared" si="24"/>
        <v/>
      </c>
      <c r="R234" s="257" t="str">
        <f t="shared" si="29"/>
        <v/>
      </c>
      <c r="S234" s="283" t="str">
        <f t="shared" si="25"/>
        <v/>
      </c>
      <c r="T234" s="258" t="str">
        <f t="shared" si="26"/>
        <v/>
      </c>
      <c r="U234" s="257" t="str">
        <f t="shared" si="27"/>
        <v/>
      </c>
      <c r="V234" s="257" t="str">
        <f t="shared" si="30"/>
        <v/>
      </c>
      <c r="W234" s="283" t="str">
        <f t="shared" si="28"/>
        <v/>
      </c>
      <c r="X234" s="253"/>
      <c r="Y234" s="253"/>
      <c r="Z234" s="253"/>
      <c r="AA234" s="253"/>
      <c r="AB234" s="253"/>
      <c r="AC234" s="253"/>
      <c r="AD234" s="253"/>
      <c r="AE234" s="253"/>
      <c r="AF234" s="253"/>
      <c r="AG234" s="253"/>
      <c r="AH234" s="253"/>
      <c r="AI234" s="253"/>
      <c r="AJ234" s="253"/>
      <c r="AK234" s="253"/>
      <c r="AL234" s="253"/>
      <c r="AM234" s="253"/>
      <c r="AN234" s="253"/>
      <c r="AO234" s="253"/>
      <c r="AP234" s="253"/>
      <c r="AQ234" s="253"/>
      <c r="AR234" s="253"/>
      <c r="AS234" s="253"/>
      <c r="AT234" s="253"/>
      <c r="AU234" s="253"/>
    </row>
    <row r="235" spans="9:47" ht="19.5" customHeight="1" x14ac:dyDescent="0.25">
      <c r="I235" s="83">
        <v>220</v>
      </c>
      <c r="J235" s="255" t="str">
        <f>IF(I235&lt;=MAX(Forest_data[Age]),I235,"")</f>
        <v/>
      </c>
      <c r="K235" s="256" t="str">
        <f>IF(ISNUMBER(J235),LOOKUP(J235, Forest_data[[#All],[Age]],Forest_data[[#All],[Number of trees per ha]]),"")</f>
        <v/>
      </c>
      <c r="L235" s="257" t="str">
        <f>IF(ISNUMBER(J235),IF(ISNA(VLOOKUP(J235,Forest_data[#All],3,FALSE)),#N/A, VLOOKUP(J235,Forest_data[#All],3,FALSE)),"")</f>
        <v/>
      </c>
      <c r="M235" s="257" t="str">
        <f>IF(ISNUMBER(J235),IF(ISNA(VLOOKUP(J235,Forest_data[#All],4,FALSE)),#N/A, VLOOKUP(J235,Forest_data[#All],4,FALSE)),"")</f>
        <v/>
      </c>
      <c r="N235" s="257" t="str">
        <f>IF(ISNUMBER(J235),IF(ISNA(VLOOKUP(J235,Forest_data[#All],5,FALSE)),#N/A, VLOOKUP(J235,Forest_data[#All],5,FALSE)),"")</f>
        <v/>
      </c>
      <c r="O235" s="257" t="str">
        <f>IF(ISNUMBER(J235),IF(ISNA(VLOOKUP(J235,Forest_data[#All],6,FALSE)),#N/A, VLOOKUP(J235,Forest_data[#All],6,FALSE)),"")</f>
        <v/>
      </c>
      <c r="P235" s="257" t="str">
        <f t="shared" si="31"/>
        <v/>
      </c>
      <c r="Q235" s="257" t="str">
        <f t="shared" si="24"/>
        <v/>
      </c>
      <c r="R235" s="257" t="str">
        <f t="shared" si="29"/>
        <v/>
      </c>
      <c r="S235" s="283" t="str">
        <f t="shared" si="25"/>
        <v/>
      </c>
      <c r="T235" s="258" t="str">
        <f t="shared" si="26"/>
        <v/>
      </c>
      <c r="U235" s="257" t="str">
        <f t="shared" si="27"/>
        <v/>
      </c>
      <c r="V235" s="257" t="str">
        <f t="shared" si="30"/>
        <v/>
      </c>
      <c r="W235" s="283" t="str">
        <f t="shared" si="28"/>
        <v/>
      </c>
      <c r="X235" s="253"/>
      <c r="Y235" s="253"/>
      <c r="Z235" s="253"/>
      <c r="AA235" s="253"/>
      <c r="AB235" s="253"/>
      <c r="AC235" s="253"/>
      <c r="AD235" s="253"/>
      <c r="AE235" s="253"/>
      <c r="AF235" s="253"/>
      <c r="AG235" s="253"/>
      <c r="AH235" s="253"/>
      <c r="AI235" s="253"/>
      <c r="AJ235" s="253"/>
      <c r="AK235" s="253"/>
      <c r="AL235" s="253"/>
      <c r="AM235" s="253"/>
      <c r="AN235" s="253"/>
      <c r="AO235" s="253"/>
      <c r="AP235" s="253"/>
      <c r="AQ235" s="253"/>
      <c r="AR235" s="253"/>
      <c r="AS235" s="253"/>
      <c r="AT235" s="253"/>
      <c r="AU235" s="253"/>
    </row>
    <row r="236" spans="9:47" ht="19.5" customHeight="1" x14ac:dyDescent="0.25">
      <c r="I236" s="260">
        <v>221</v>
      </c>
      <c r="J236" s="255" t="str">
        <f>IF(I236&lt;=MAX(Forest_data[Age]),I236,"")</f>
        <v/>
      </c>
      <c r="K236" s="256" t="str">
        <f>IF(ISNUMBER(J236),LOOKUP(J236, Forest_data[[#All],[Age]],Forest_data[[#All],[Number of trees per ha]]),"")</f>
        <v/>
      </c>
      <c r="L236" s="257" t="str">
        <f>IF(ISNUMBER(J236),IF(ISNA(VLOOKUP(J236,Forest_data[#All],3,FALSE)),#N/A, VLOOKUP(J236,Forest_data[#All],3,FALSE)),"")</f>
        <v/>
      </c>
      <c r="M236" s="257" t="str">
        <f>IF(ISNUMBER(J236),IF(ISNA(VLOOKUP(J236,Forest_data[#All],4,FALSE)),#N/A, VLOOKUP(J236,Forest_data[#All],4,FALSE)),"")</f>
        <v/>
      </c>
      <c r="N236" s="257" t="str">
        <f>IF(ISNUMBER(J236),IF(ISNA(VLOOKUP(J236,Forest_data[#All],5,FALSE)),#N/A, VLOOKUP(J236,Forest_data[#All],5,FALSE)),"")</f>
        <v/>
      </c>
      <c r="O236" s="257" t="str">
        <f>IF(ISNUMBER(J236),IF(ISNA(VLOOKUP(J236,Forest_data[#All],6,FALSE)),#N/A, VLOOKUP(J236,Forest_data[#All],6,FALSE)),"")</f>
        <v/>
      </c>
      <c r="P236" s="257" t="str">
        <f t="shared" si="31"/>
        <v/>
      </c>
      <c r="Q236" s="257" t="str">
        <f t="shared" si="24"/>
        <v/>
      </c>
      <c r="R236" s="257" t="str">
        <f t="shared" si="29"/>
        <v/>
      </c>
      <c r="S236" s="283" t="str">
        <f t="shared" si="25"/>
        <v/>
      </c>
      <c r="T236" s="258" t="str">
        <f t="shared" si="26"/>
        <v/>
      </c>
      <c r="U236" s="257" t="str">
        <f t="shared" si="27"/>
        <v/>
      </c>
      <c r="V236" s="257" t="str">
        <f t="shared" si="30"/>
        <v/>
      </c>
      <c r="W236" s="283" t="str">
        <f t="shared" si="28"/>
        <v/>
      </c>
      <c r="X236" s="253"/>
      <c r="Y236" s="253"/>
      <c r="Z236" s="253"/>
      <c r="AA236" s="253"/>
      <c r="AB236" s="253"/>
      <c r="AC236" s="253"/>
      <c r="AD236" s="253"/>
      <c r="AE236" s="253"/>
      <c r="AF236" s="253"/>
      <c r="AG236" s="253"/>
      <c r="AH236" s="253"/>
      <c r="AI236" s="253"/>
      <c r="AJ236" s="253"/>
      <c r="AK236" s="253"/>
      <c r="AL236" s="253"/>
      <c r="AM236" s="253"/>
      <c r="AN236" s="253"/>
      <c r="AO236" s="253"/>
      <c r="AP236" s="253"/>
      <c r="AQ236" s="253"/>
      <c r="AR236" s="253"/>
      <c r="AS236" s="253"/>
      <c r="AT236" s="253"/>
      <c r="AU236" s="253"/>
    </row>
    <row r="237" spans="9:47" ht="19.5" customHeight="1" x14ac:dyDescent="0.25">
      <c r="I237" s="83">
        <v>222</v>
      </c>
      <c r="J237" s="255" t="str">
        <f>IF(I237&lt;=MAX(Forest_data[Age]),I237,"")</f>
        <v/>
      </c>
      <c r="K237" s="256" t="str">
        <f>IF(ISNUMBER(J237),LOOKUP(J237, Forest_data[[#All],[Age]],Forest_data[[#All],[Number of trees per ha]]),"")</f>
        <v/>
      </c>
      <c r="L237" s="257" t="str">
        <f>IF(ISNUMBER(J237),IF(ISNA(VLOOKUP(J237,Forest_data[#All],3,FALSE)),#N/A, VLOOKUP(J237,Forest_data[#All],3,FALSE)),"")</f>
        <v/>
      </c>
      <c r="M237" s="257" t="str">
        <f>IF(ISNUMBER(J237),IF(ISNA(VLOOKUP(J237,Forest_data[#All],4,FALSE)),#N/A, VLOOKUP(J237,Forest_data[#All],4,FALSE)),"")</f>
        <v/>
      </c>
      <c r="N237" s="257" t="str">
        <f>IF(ISNUMBER(J237),IF(ISNA(VLOOKUP(J237,Forest_data[#All],5,FALSE)),#N/A, VLOOKUP(J237,Forest_data[#All],5,FALSE)),"")</f>
        <v/>
      </c>
      <c r="O237" s="257" t="str">
        <f>IF(ISNUMBER(J237),IF(ISNA(VLOOKUP(J237,Forest_data[#All],6,FALSE)),#N/A, VLOOKUP(J237,Forest_data[#All],6,FALSE)),"")</f>
        <v/>
      </c>
      <c r="P237" s="257" t="str">
        <f t="shared" si="31"/>
        <v/>
      </c>
      <c r="Q237" s="257" t="str">
        <f t="shared" si="24"/>
        <v/>
      </c>
      <c r="R237" s="257" t="str">
        <f t="shared" si="29"/>
        <v/>
      </c>
      <c r="S237" s="283" t="str">
        <f t="shared" si="25"/>
        <v/>
      </c>
      <c r="T237" s="258" t="str">
        <f t="shared" si="26"/>
        <v/>
      </c>
      <c r="U237" s="257" t="str">
        <f t="shared" si="27"/>
        <v/>
      </c>
      <c r="V237" s="257" t="str">
        <f t="shared" si="30"/>
        <v/>
      </c>
      <c r="W237" s="283" t="str">
        <f t="shared" si="28"/>
        <v/>
      </c>
      <c r="X237" s="253"/>
      <c r="Y237" s="253"/>
      <c r="Z237" s="253"/>
      <c r="AA237" s="253"/>
      <c r="AB237" s="253"/>
      <c r="AC237" s="253"/>
      <c r="AD237" s="253"/>
      <c r="AE237" s="253"/>
      <c r="AF237" s="253"/>
      <c r="AG237" s="253"/>
      <c r="AH237" s="253"/>
      <c r="AI237" s="253"/>
      <c r="AJ237" s="253"/>
      <c r="AK237" s="253"/>
      <c r="AL237" s="253"/>
      <c r="AM237" s="253"/>
      <c r="AN237" s="253"/>
      <c r="AO237" s="253"/>
      <c r="AP237" s="253"/>
      <c r="AQ237" s="253"/>
      <c r="AR237" s="253"/>
      <c r="AS237" s="253"/>
      <c r="AT237" s="253"/>
      <c r="AU237" s="253"/>
    </row>
    <row r="238" spans="9:47" ht="19.5" customHeight="1" x14ac:dyDescent="0.25">
      <c r="I238" s="83">
        <v>223</v>
      </c>
      <c r="J238" s="255" t="str">
        <f>IF(I238&lt;=MAX(Forest_data[Age]),I238,"")</f>
        <v/>
      </c>
      <c r="K238" s="256" t="str">
        <f>IF(ISNUMBER(J238),LOOKUP(J238, Forest_data[[#All],[Age]],Forest_data[[#All],[Number of trees per ha]]),"")</f>
        <v/>
      </c>
      <c r="L238" s="257" t="str">
        <f>IF(ISNUMBER(J238),IF(ISNA(VLOOKUP(J238,Forest_data[#All],3,FALSE)),#N/A, VLOOKUP(J238,Forest_data[#All],3,FALSE)),"")</f>
        <v/>
      </c>
      <c r="M238" s="257" t="str">
        <f>IF(ISNUMBER(J238),IF(ISNA(VLOOKUP(J238,Forest_data[#All],4,FALSE)),#N/A, VLOOKUP(J238,Forest_data[#All],4,FALSE)),"")</f>
        <v/>
      </c>
      <c r="N238" s="257" t="str">
        <f>IF(ISNUMBER(J238),IF(ISNA(VLOOKUP(J238,Forest_data[#All],5,FALSE)),#N/A, VLOOKUP(J238,Forest_data[#All],5,FALSE)),"")</f>
        <v/>
      </c>
      <c r="O238" s="257" t="str">
        <f>IF(ISNUMBER(J238),IF(ISNA(VLOOKUP(J238,Forest_data[#All],6,FALSE)),#N/A, VLOOKUP(J238,Forest_data[#All],6,FALSE)),"")</f>
        <v/>
      </c>
      <c r="P238" s="257" t="str">
        <f t="shared" si="31"/>
        <v/>
      </c>
      <c r="Q238" s="257" t="str">
        <f t="shared" si="24"/>
        <v/>
      </c>
      <c r="R238" s="257" t="str">
        <f t="shared" si="29"/>
        <v/>
      </c>
      <c r="S238" s="283" t="str">
        <f t="shared" si="25"/>
        <v/>
      </c>
      <c r="T238" s="258" t="str">
        <f t="shared" si="26"/>
        <v/>
      </c>
      <c r="U238" s="257" t="str">
        <f t="shared" si="27"/>
        <v/>
      </c>
      <c r="V238" s="257" t="str">
        <f t="shared" si="30"/>
        <v/>
      </c>
      <c r="W238" s="283" t="str">
        <f t="shared" si="28"/>
        <v/>
      </c>
      <c r="X238" s="253"/>
      <c r="Y238" s="253"/>
      <c r="Z238" s="253"/>
      <c r="AA238" s="253"/>
      <c r="AB238" s="253"/>
      <c r="AC238" s="253"/>
      <c r="AD238" s="253"/>
      <c r="AE238" s="253"/>
      <c r="AF238" s="253"/>
      <c r="AG238" s="253"/>
      <c r="AH238" s="253"/>
      <c r="AI238" s="253"/>
      <c r="AJ238" s="253"/>
      <c r="AK238" s="253"/>
      <c r="AL238" s="253"/>
      <c r="AM238" s="253"/>
      <c r="AN238" s="253"/>
      <c r="AO238" s="253"/>
      <c r="AP238" s="253"/>
      <c r="AQ238" s="253"/>
      <c r="AR238" s="253"/>
      <c r="AS238" s="253"/>
      <c r="AT238" s="253"/>
      <c r="AU238" s="253"/>
    </row>
    <row r="239" spans="9:47" ht="19.5" customHeight="1" x14ac:dyDescent="0.25">
      <c r="I239" s="83">
        <v>224</v>
      </c>
      <c r="J239" s="255" t="str">
        <f>IF(I239&lt;=MAX(Forest_data[Age]),I239,"")</f>
        <v/>
      </c>
      <c r="K239" s="256" t="str">
        <f>IF(ISNUMBER(J239),LOOKUP(J239, Forest_data[[#All],[Age]],Forest_data[[#All],[Number of trees per ha]]),"")</f>
        <v/>
      </c>
      <c r="L239" s="257" t="str">
        <f>IF(ISNUMBER(J239),IF(ISNA(VLOOKUP(J239,Forest_data[#All],3,FALSE)),#N/A, VLOOKUP(J239,Forest_data[#All],3,FALSE)),"")</f>
        <v/>
      </c>
      <c r="M239" s="257" t="str">
        <f>IF(ISNUMBER(J239),IF(ISNA(VLOOKUP(J239,Forest_data[#All],4,FALSE)),#N/A, VLOOKUP(J239,Forest_data[#All],4,FALSE)),"")</f>
        <v/>
      </c>
      <c r="N239" s="257" t="str">
        <f>IF(ISNUMBER(J239),IF(ISNA(VLOOKUP(J239,Forest_data[#All],5,FALSE)),#N/A, VLOOKUP(J239,Forest_data[#All],5,FALSE)),"")</f>
        <v/>
      </c>
      <c r="O239" s="257" t="str">
        <f>IF(ISNUMBER(J239),IF(ISNA(VLOOKUP(J239,Forest_data[#All],6,FALSE)),#N/A, VLOOKUP(J239,Forest_data[#All],6,FALSE)),"")</f>
        <v/>
      </c>
      <c r="P239" s="257" t="str">
        <f t="shared" si="31"/>
        <v/>
      </c>
      <c r="Q239" s="257" t="str">
        <f t="shared" si="24"/>
        <v/>
      </c>
      <c r="R239" s="257" t="str">
        <f t="shared" si="29"/>
        <v/>
      </c>
      <c r="S239" s="283" t="str">
        <f t="shared" si="25"/>
        <v/>
      </c>
      <c r="T239" s="258" t="str">
        <f t="shared" si="26"/>
        <v/>
      </c>
      <c r="U239" s="257" t="str">
        <f t="shared" si="27"/>
        <v/>
      </c>
      <c r="V239" s="257" t="str">
        <f t="shared" si="30"/>
        <v/>
      </c>
      <c r="W239" s="283" t="str">
        <f t="shared" si="28"/>
        <v/>
      </c>
      <c r="X239" s="253"/>
      <c r="Y239" s="253"/>
      <c r="Z239" s="253"/>
      <c r="AA239" s="253"/>
      <c r="AB239" s="253"/>
      <c r="AC239" s="253"/>
      <c r="AD239" s="253"/>
      <c r="AE239" s="253"/>
      <c r="AF239" s="253"/>
      <c r="AG239" s="253"/>
      <c r="AH239" s="253"/>
      <c r="AI239" s="253"/>
      <c r="AJ239" s="253"/>
      <c r="AK239" s="253"/>
      <c r="AL239" s="253"/>
      <c r="AM239" s="253"/>
      <c r="AN239" s="253"/>
      <c r="AO239" s="253"/>
      <c r="AP239" s="253"/>
      <c r="AQ239" s="253"/>
      <c r="AR239" s="253"/>
      <c r="AS239" s="253"/>
      <c r="AT239" s="253"/>
      <c r="AU239" s="253"/>
    </row>
    <row r="240" spans="9:47" ht="19.5" customHeight="1" x14ac:dyDescent="0.25">
      <c r="I240" s="260">
        <v>225</v>
      </c>
      <c r="J240" s="255" t="str">
        <f>IF(I240&lt;=MAX(Forest_data[Age]),I240,"")</f>
        <v/>
      </c>
      <c r="K240" s="256" t="str">
        <f>IF(ISNUMBER(J240),LOOKUP(J240, Forest_data[[#All],[Age]],Forest_data[[#All],[Number of trees per ha]]),"")</f>
        <v/>
      </c>
      <c r="L240" s="257" t="str">
        <f>IF(ISNUMBER(J240),IF(ISNA(VLOOKUP(J240,Forest_data[#All],3,FALSE)),#N/A, VLOOKUP(J240,Forest_data[#All],3,FALSE)),"")</f>
        <v/>
      </c>
      <c r="M240" s="257" t="str">
        <f>IF(ISNUMBER(J240),IF(ISNA(VLOOKUP(J240,Forest_data[#All],4,FALSE)),#N/A, VLOOKUP(J240,Forest_data[#All],4,FALSE)),"")</f>
        <v/>
      </c>
      <c r="N240" s="257" t="str">
        <f>IF(ISNUMBER(J240),IF(ISNA(VLOOKUP(J240,Forest_data[#All],5,FALSE)),#N/A, VLOOKUP(J240,Forest_data[#All],5,FALSE)),"")</f>
        <v/>
      </c>
      <c r="O240" s="257" t="str">
        <f>IF(ISNUMBER(J240),IF(ISNA(VLOOKUP(J240,Forest_data[#All],6,FALSE)),#N/A, VLOOKUP(J240,Forest_data[#All],6,FALSE)),"")</f>
        <v/>
      </c>
      <c r="P240" s="257" t="str">
        <f t="shared" si="31"/>
        <v/>
      </c>
      <c r="Q240" s="257" t="str">
        <f t="shared" si="24"/>
        <v/>
      </c>
      <c r="R240" s="257" t="str">
        <f t="shared" si="29"/>
        <v/>
      </c>
      <c r="S240" s="283" t="str">
        <f t="shared" si="25"/>
        <v/>
      </c>
      <c r="T240" s="258" t="str">
        <f t="shared" si="26"/>
        <v/>
      </c>
      <c r="U240" s="257" t="str">
        <f t="shared" si="27"/>
        <v/>
      </c>
      <c r="V240" s="257" t="str">
        <f t="shared" si="30"/>
        <v/>
      </c>
      <c r="W240" s="283" t="str">
        <f t="shared" si="28"/>
        <v/>
      </c>
      <c r="X240" s="253"/>
      <c r="Y240" s="253"/>
      <c r="Z240" s="253"/>
      <c r="AA240" s="253"/>
      <c r="AB240" s="253"/>
      <c r="AC240" s="253"/>
      <c r="AD240" s="253"/>
      <c r="AE240" s="253"/>
      <c r="AF240" s="253"/>
      <c r="AG240" s="253"/>
      <c r="AH240" s="253"/>
      <c r="AI240" s="253"/>
      <c r="AJ240" s="253"/>
      <c r="AK240" s="253"/>
      <c r="AL240" s="253"/>
      <c r="AM240" s="253"/>
      <c r="AN240" s="253"/>
      <c r="AO240" s="253"/>
      <c r="AP240" s="253"/>
      <c r="AQ240" s="253"/>
      <c r="AR240" s="253"/>
      <c r="AS240" s="253"/>
      <c r="AT240" s="253"/>
      <c r="AU240" s="253"/>
    </row>
    <row r="241" spans="9:47" ht="19.5" customHeight="1" x14ac:dyDescent="0.25">
      <c r="I241" s="83">
        <v>226</v>
      </c>
      <c r="J241" s="255" t="str">
        <f>IF(I241&lt;=MAX(Forest_data[Age]),I241,"")</f>
        <v/>
      </c>
      <c r="K241" s="256" t="str">
        <f>IF(ISNUMBER(J241),LOOKUP(J241, Forest_data[[#All],[Age]],Forest_data[[#All],[Number of trees per ha]]),"")</f>
        <v/>
      </c>
      <c r="L241" s="257" t="str">
        <f>IF(ISNUMBER(J241),IF(ISNA(VLOOKUP(J241,Forest_data[#All],3,FALSE)),#N/A, VLOOKUP(J241,Forest_data[#All],3,FALSE)),"")</f>
        <v/>
      </c>
      <c r="M241" s="257" t="str">
        <f>IF(ISNUMBER(J241),IF(ISNA(VLOOKUP(J241,Forest_data[#All],4,FALSE)),#N/A, VLOOKUP(J241,Forest_data[#All],4,FALSE)),"")</f>
        <v/>
      </c>
      <c r="N241" s="257" t="str">
        <f>IF(ISNUMBER(J241),IF(ISNA(VLOOKUP(J241,Forest_data[#All],5,FALSE)),#N/A, VLOOKUP(J241,Forest_data[#All],5,FALSE)),"")</f>
        <v/>
      </c>
      <c r="O241" s="257" t="str">
        <f>IF(ISNUMBER(J241),IF(ISNA(VLOOKUP(J241,Forest_data[#All],6,FALSE)),#N/A, VLOOKUP(J241,Forest_data[#All],6,FALSE)),"")</f>
        <v/>
      </c>
      <c r="P241" s="257" t="str">
        <f t="shared" si="31"/>
        <v/>
      </c>
      <c r="Q241" s="257" t="str">
        <f t="shared" si="24"/>
        <v/>
      </c>
      <c r="R241" s="257" t="str">
        <f t="shared" si="29"/>
        <v/>
      </c>
      <c r="S241" s="283" t="str">
        <f t="shared" si="25"/>
        <v/>
      </c>
      <c r="T241" s="258" t="str">
        <f t="shared" si="26"/>
        <v/>
      </c>
      <c r="U241" s="257" t="str">
        <f t="shared" si="27"/>
        <v/>
      </c>
      <c r="V241" s="257" t="str">
        <f t="shared" si="30"/>
        <v/>
      </c>
      <c r="W241" s="283" t="str">
        <f t="shared" si="28"/>
        <v/>
      </c>
      <c r="X241" s="253"/>
      <c r="Y241" s="253"/>
      <c r="Z241" s="253"/>
      <c r="AA241" s="253"/>
      <c r="AB241" s="253"/>
      <c r="AC241" s="253"/>
      <c r="AD241" s="253"/>
      <c r="AE241" s="253"/>
      <c r="AF241" s="253"/>
      <c r="AG241" s="253"/>
      <c r="AH241" s="253"/>
      <c r="AI241" s="253"/>
      <c r="AJ241" s="253"/>
      <c r="AK241" s="253"/>
      <c r="AL241" s="253"/>
      <c r="AM241" s="253"/>
      <c r="AN241" s="253"/>
      <c r="AO241" s="253"/>
      <c r="AP241" s="253"/>
      <c r="AQ241" s="253"/>
      <c r="AR241" s="253"/>
      <c r="AS241" s="253"/>
      <c r="AT241" s="253"/>
      <c r="AU241" s="253"/>
    </row>
    <row r="242" spans="9:47" ht="19.5" customHeight="1" x14ac:dyDescent="0.25">
      <c r="I242" s="83">
        <v>227</v>
      </c>
      <c r="J242" s="255" t="str">
        <f>IF(I242&lt;=MAX(Forest_data[Age]),I242,"")</f>
        <v/>
      </c>
      <c r="K242" s="256" t="str">
        <f>IF(ISNUMBER(J242),LOOKUP(J242, Forest_data[[#All],[Age]],Forest_data[[#All],[Number of trees per ha]]),"")</f>
        <v/>
      </c>
      <c r="L242" s="257" t="str">
        <f>IF(ISNUMBER(J242),IF(ISNA(VLOOKUP(J242,Forest_data[#All],3,FALSE)),#N/A, VLOOKUP(J242,Forest_data[#All],3,FALSE)),"")</f>
        <v/>
      </c>
      <c r="M242" s="257" t="str">
        <f>IF(ISNUMBER(J242),IF(ISNA(VLOOKUP(J242,Forest_data[#All],4,FALSE)),#N/A, VLOOKUP(J242,Forest_data[#All],4,FALSE)),"")</f>
        <v/>
      </c>
      <c r="N242" s="257" t="str">
        <f>IF(ISNUMBER(J242),IF(ISNA(VLOOKUP(J242,Forest_data[#All],5,FALSE)),#N/A, VLOOKUP(J242,Forest_data[#All],5,FALSE)),"")</f>
        <v/>
      </c>
      <c r="O242" s="257" t="str">
        <f>IF(ISNUMBER(J242),IF(ISNA(VLOOKUP(J242,Forest_data[#All],6,FALSE)),#N/A, VLOOKUP(J242,Forest_data[#All],6,FALSE)),"")</f>
        <v/>
      </c>
      <c r="P242" s="257" t="str">
        <f t="shared" si="31"/>
        <v/>
      </c>
      <c r="Q242" s="257" t="str">
        <f t="shared" si="24"/>
        <v/>
      </c>
      <c r="R242" s="257" t="str">
        <f t="shared" si="29"/>
        <v/>
      </c>
      <c r="S242" s="283" t="str">
        <f t="shared" si="25"/>
        <v/>
      </c>
      <c r="T242" s="258" t="str">
        <f t="shared" si="26"/>
        <v/>
      </c>
      <c r="U242" s="257" t="str">
        <f t="shared" si="27"/>
        <v/>
      </c>
      <c r="V242" s="257" t="str">
        <f t="shared" si="30"/>
        <v/>
      </c>
      <c r="W242" s="283" t="str">
        <f t="shared" si="28"/>
        <v/>
      </c>
      <c r="X242" s="253"/>
      <c r="Y242" s="253"/>
      <c r="Z242" s="253"/>
      <c r="AA242" s="253"/>
      <c r="AB242" s="253"/>
      <c r="AC242" s="253"/>
      <c r="AD242" s="253"/>
      <c r="AE242" s="253"/>
      <c r="AF242" s="253"/>
      <c r="AG242" s="253"/>
      <c r="AH242" s="253"/>
      <c r="AI242" s="253"/>
      <c r="AJ242" s="253"/>
      <c r="AK242" s="253"/>
      <c r="AL242" s="253"/>
      <c r="AM242" s="253"/>
      <c r="AN242" s="253"/>
      <c r="AO242" s="253"/>
      <c r="AP242" s="253"/>
      <c r="AQ242" s="253"/>
      <c r="AR242" s="253"/>
      <c r="AS242" s="253"/>
      <c r="AT242" s="253"/>
      <c r="AU242" s="253"/>
    </row>
    <row r="243" spans="9:47" ht="19.5" customHeight="1" x14ac:dyDescent="0.25">
      <c r="I243" s="83">
        <v>228</v>
      </c>
      <c r="J243" s="255" t="str">
        <f>IF(I243&lt;=MAX(Forest_data[Age]),I243,"")</f>
        <v/>
      </c>
      <c r="K243" s="256" t="str">
        <f>IF(ISNUMBER(J243),LOOKUP(J243, Forest_data[[#All],[Age]],Forest_data[[#All],[Number of trees per ha]]),"")</f>
        <v/>
      </c>
      <c r="L243" s="257" t="str">
        <f>IF(ISNUMBER(J243),IF(ISNA(VLOOKUP(J243,Forest_data[#All],3,FALSE)),#N/A, VLOOKUP(J243,Forest_data[#All],3,FALSE)),"")</f>
        <v/>
      </c>
      <c r="M243" s="257" t="str">
        <f>IF(ISNUMBER(J243),IF(ISNA(VLOOKUP(J243,Forest_data[#All],4,FALSE)),#N/A, VLOOKUP(J243,Forest_data[#All],4,FALSE)),"")</f>
        <v/>
      </c>
      <c r="N243" s="257" t="str">
        <f>IF(ISNUMBER(J243),IF(ISNA(VLOOKUP(J243,Forest_data[#All],5,FALSE)),#N/A, VLOOKUP(J243,Forest_data[#All],5,FALSE)),"")</f>
        <v/>
      </c>
      <c r="O243" s="257" t="str">
        <f>IF(ISNUMBER(J243),IF(ISNA(VLOOKUP(J243,Forest_data[#All],6,FALSE)),#N/A, VLOOKUP(J243,Forest_data[#All],6,FALSE)),"")</f>
        <v/>
      </c>
      <c r="P243" s="257" t="str">
        <f t="shared" si="31"/>
        <v/>
      </c>
      <c r="Q243" s="257" t="str">
        <f t="shared" si="24"/>
        <v/>
      </c>
      <c r="R243" s="257" t="str">
        <f t="shared" si="29"/>
        <v/>
      </c>
      <c r="S243" s="283" t="str">
        <f t="shared" si="25"/>
        <v/>
      </c>
      <c r="T243" s="258" t="str">
        <f t="shared" si="26"/>
        <v/>
      </c>
      <c r="U243" s="257" t="str">
        <f t="shared" si="27"/>
        <v/>
      </c>
      <c r="V243" s="257" t="str">
        <f t="shared" si="30"/>
        <v/>
      </c>
      <c r="W243" s="283" t="str">
        <f t="shared" si="28"/>
        <v/>
      </c>
      <c r="X243" s="253"/>
      <c r="Y243" s="253"/>
      <c r="Z243" s="253"/>
      <c r="AA243" s="253"/>
      <c r="AB243" s="253"/>
      <c r="AC243" s="253"/>
      <c r="AD243" s="253"/>
      <c r="AE243" s="253"/>
      <c r="AF243" s="253"/>
      <c r="AG243" s="253"/>
      <c r="AH243" s="253"/>
      <c r="AI243" s="253"/>
      <c r="AJ243" s="253"/>
      <c r="AK243" s="253"/>
      <c r="AL243" s="253"/>
      <c r="AM243" s="253"/>
      <c r="AN243" s="253"/>
      <c r="AO243" s="253"/>
      <c r="AP243" s="253"/>
      <c r="AQ243" s="253"/>
      <c r="AR243" s="253"/>
      <c r="AS243" s="253"/>
      <c r="AT243" s="253"/>
      <c r="AU243" s="253"/>
    </row>
    <row r="244" spans="9:47" ht="19.5" customHeight="1" x14ac:dyDescent="0.25">
      <c r="I244" s="260">
        <v>229</v>
      </c>
      <c r="J244" s="255" t="str">
        <f>IF(I244&lt;=MAX(Forest_data[Age]),I244,"")</f>
        <v/>
      </c>
      <c r="K244" s="256" t="str">
        <f>IF(ISNUMBER(J244),LOOKUP(J244, Forest_data[[#All],[Age]],Forest_data[[#All],[Number of trees per ha]]),"")</f>
        <v/>
      </c>
      <c r="L244" s="257" t="str">
        <f>IF(ISNUMBER(J244),IF(ISNA(VLOOKUP(J244,Forest_data[#All],3,FALSE)),#N/A, VLOOKUP(J244,Forest_data[#All],3,FALSE)),"")</f>
        <v/>
      </c>
      <c r="M244" s="257" t="str">
        <f>IF(ISNUMBER(J244),IF(ISNA(VLOOKUP(J244,Forest_data[#All],4,FALSE)),#N/A, VLOOKUP(J244,Forest_data[#All],4,FALSE)),"")</f>
        <v/>
      </c>
      <c r="N244" s="257" t="str">
        <f>IF(ISNUMBER(J244),IF(ISNA(VLOOKUP(J244,Forest_data[#All],5,FALSE)),#N/A, VLOOKUP(J244,Forest_data[#All],5,FALSE)),"")</f>
        <v/>
      </c>
      <c r="O244" s="257" t="str">
        <f>IF(ISNUMBER(J244),IF(ISNA(VLOOKUP(J244,Forest_data[#All],6,FALSE)),#N/A, VLOOKUP(J244,Forest_data[#All],6,FALSE)),"")</f>
        <v/>
      </c>
      <c r="P244" s="257" t="str">
        <f t="shared" si="31"/>
        <v/>
      </c>
      <c r="Q244" s="257" t="str">
        <f t="shared" si="24"/>
        <v/>
      </c>
      <c r="R244" s="257" t="str">
        <f t="shared" si="29"/>
        <v/>
      </c>
      <c r="S244" s="283" t="str">
        <f t="shared" si="25"/>
        <v/>
      </c>
      <c r="T244" s="258" t="str">
        <f t="shared" si="26"/>
        <v/>
      </c>
      <c r="U244" s="257" t="str">
        <f t="shared" si="27"/>
        <v/>
      </c>
      <c r="V244" s="257" t="str">
        <f t="shared" si="30"/>
        <v/>
      </c>
      <c r="W244" s="283" t="str">
        <f t="shared" si="28"/>
        <v/>
      </c>
      <c r="X244" s="253"/>
      <c r="Y244" s="253"/>
      <c r="Z244" s="253"/>
      <c r="AA244" s="253"/>
      <c r="AB244" s="253"/>
      <c r="AC244" s="253"/>
      <c r="AD244" s="253"/>
      <c r="AE244" s="253"/>
      <c r="AF244" s="253"/>
      <c r="AG244" s="253"/>
      <c r="AH244" s="253"/>
      <c r="AI244" s="253"/>
      <c r="AJ244" s="253"/>
      <c r="AK244" s="253"/>
      <c r="AL244" s="253"/>
      <c r="AM244" s="253"/>
      <c r="AN244" s="253"/>
      <c r="AO244" s="253"/>
      <c r="AP244" s="253"/>
      <c r="AQ244" s="253"/>
      <c r="AR244" s="253"/>
      <c r="AS244" s="253"/>
      <c r="AT244" s="253"/>
      <c r="AU244" s="253"/>
    </row>
    <row r="245" spans="9:47" ht="19.5" customHeight="1" x14ac:dyDescent="0.25">
      <c r="I245" s="83">
        <v>230</v>
      </c>
      <c r="J245" s="255" t="str">
        <f>IF(I245&lt;=MAX(Forest_data[Age]),I245,"")</f>
        <v/>
      </c>
      <c r="K245" s="256" t="str">
        <f>IF(ISNUMBER(J245),LOOKUP(J245, Forest_data[[#All],[Age]],Forest_data[[#All],[Number of trees per ha]]),"")</f>
        <v/>
      </c>
      <c r="L245" s="257" t="str">
        <f>IF(ISNUMBER(J245),IF(ISNA(VLOOKUP(J245,Forest_data[#All],3,FALSE)),#N/A, VLOOKUP(J245,Forest_data[#All],3,FALSE)),"")</f>
        <v/>
      </c>
      <c r="M245" s="257" t="str">
        <f>IF(ISNUMBER(J245),IF(ISNA(VLOOKUP(J245,Forest_data[#All],4,FALSE)),#N/A, VLOOKUP(J245,Forest_data[#All],4,FALSE)),"")</f>
        <v/>
      </c>
      <c r="N245" s="257" t="str">
        <f>IF(ISNUMBER(J245),IF(ISNA(VLOOKUP(J245,Forest_data[#All],5,FALSE)),#N/A, VLOOKUP(J245,Forest_data[#All],5,FALSE)),"")</f>
        <v/>
      </c>
      <c r="O245" s="257" t="str">
        <f>IF(ISNUMBER(J245),IF(ISNA(VLOOKUP(J245,Forest_data[#All],6,FALSE)),#N/A, VLOOKUP(J245,Forest_data[#All],6,FALSE)),"")</f>
        <v/>
      </c>
      <c r="P245" s="257" t="str">
        <f t="shared" si="31"/>
        <v/>
      </c>
      <c r="Q245" s="257" t="str">
        <f t="shared" si="24"/>
        <v/>
      </c>
      <c r="R245" s="257" t="str">
        <f t="shared" si="29"/>
        <v/>
      </c>
      <c r="S245" s="283" t="str">
        <f t="shared" si="25"/>
        <v/>
      </c>
      <c r="T245" s="258" t="str">
        <f t="shared" si="26"/>
        <v/>
      </c>
      <c r="U245" s="257" t="str">
        <f t="shared" si="27"/>
        <v/>
      </c>
      <c r="V245" s="257" t="str">
        <f t="shared" si="30"/>
        <v/>
      </c>
      <c r="W245" s="283" t="str">
        <f t="shared" si="28"/>
        <v/>
      </c>
      <c r="X245" s="253"/>
      <c r="Y245" s="253"/>
      <c r="Z245" s="253"/>
      <c r="AA245" s="253"/>
      <c r="AB245" s="253"/>
      <c r="AC245" s="253"/>
      <c r="AD245" s="253"/>
      <c r="AE245" s="253"/>
      <c r="AF245" s="253"/>
      <c r="AG245" s="253"/>
      <c r="AH245" s="253"/>
      <c r="AI245" s="253"/>
      <c r="AJ245" s="253"/>
      <c r="AK245" s="253"/>
      <c r="AL245" s="253"/>
      <c r="AM245" s="253"/>
      <c r="AN245" s="253"/>
      <c r="AO245" s="253"/>
      <c r="AP245" s="253"/>
      <c r="AQ245" s="253"/>
      <c r="AR245" s="253"/>
      <c r="AS245" s="253"/>
      <c r="AT245" s="253"/>
      <c r="AU245" s="253"/>
    </row>
    <row r="246" spans="9:47" ht="19.5" customHeight="1" x14ac:dyDescent="0.25">
      <c r="I246" s="83">
        <v>231</v>
      </c>
      <c r="J246" s="255" t="str">
        <f>IF(I246&lt;=MAX(Forest_data[Age]),I246,"")</f>
        <v/>
      </c>
      <c r="K246" s="256" t="str">
        <f>IF(ISNUMBER(J246),LOOKUP(J246, Forest_data[[#All],[Age]],Forest_data[[#All],[Number of trees per ha]]),"")</f>
        <v/>
      </c>
      <c r="L246" s="257" t="str">
        <f>IF(ISNUMBER(J246),IF(ISNA(VLOOKUP(J246,Forest_data[#All],3,FALSE)),#N/A, VLOOKUP(J246,Forest_data[#All],3,FALSE)),"")</f>
        <v/>
      </c>
      <c r="M246" s="257" t="str">
        <f>IF(ISNUMBER(J246),IF(ISNA(VLOOKUP(J246,Forest_data[#All],4,FALSE)),#N/A, VLOOKUP(J246,Forest_data[#All],4,FALSE)),"")</f>
        <v/>
      </c>
      <c r="N246" s="257" t="str">
        <f>IF(ISNUMBER(J246),IF(ISNA(VLOOKUP(J246,Forest_data[#All],5,FALSE)),#N/A, VLOOKUP(J246,Forest_data[#All],5,FALSE)),"")</f>
        <v/>
      </c>
      <c r="O246" s="257" t="str">
        <f>IF(ISNUMBER(J246),IF(ISNA(VLOOKUP(J246,Forest_data[#All],6,FALSE)),#N/A, VLOOKUP(J246,Forest_data[#All],6,FALSE)),"")</f>
        <v/>
      </c>
      <c r="P246" s="257" t="str">
        <f t="shared" si="31"/>
        <v/>
      </c>
      <c r="Q246" s="257" t="str">
        <f t="shared" si="24"/>
        <v/>
      </c>
      <c r="R246" s="257" t="str">
        <f t="shared" si="29"/>
        <v/>
      </c>
      <c r="S246" s="283" t="str">
        <f t="shared" si="25"/>
        <v/>
      </c>
      <c r="T246" s="258" t="str">
        <f t="shared" si="26"/>
        <v/>
      </c>
      <c r="U246" s="257" t="str">
        <f t="shared" si="27"/>
        <v/>
      </c>
      <c r="V246" s="257" t="str">
        <f t="shared" si="30"/>
        <v/>
      </c>
      <c r="W246" s="283" t="str">
        <f t="shared" si="28"/>
        <v/>
      </c>
      <c r="X246" s="253"/>
      <c r="Y246" s="253"/>
      <c r="Z246" s="253"/>
      <c r="AA246" s="253"/>
      <c r="AB246" s="253"/>
      <c r="AC246" s="253"/>
      <c r="AD246" s="253"/>
      <c r="AE246" s="253"/>
      <c r="AF246" s="253"/>
      <c r="AG246" s="253"/>
      <c r="AH246" s="253"/>
      <c r="AI246" s="253"/>
      <c r="AJ246" s="253"/>
      <c r="AK246" s="253"/>
      <c r="AL246" s="253"/>
      <c r="AM246" s="253"/>
      <c r="AN246" s="253"/>
      <c r="AO246" s="253"/>
      <c r="AP246" s="253"/>
      <c r="AQ246" s="253"/>
      <c r="AR246" s="253"/>
      <c r="AS246" s="253"/>
      <c r="AT246" s="253"/>
      <c r="AU246" s="253"/>
    </row>
    <row r="247" spans="9:47" ht="19.5" customHeight="1" x14ac:dyDescent="0.25">
      <c r="I247" s="83">
        <v>232</v>
      </c>
      <c r="J247" s="255" t="str">
        <f>IF(I247&lt;=MAX(Forest_data[Age]),I247,"")</f>
        <v/>
      </c>
      <c r="K247" s="256" t="str">
        <f>IF(ISNUMBER(J247),LOOKUP(J247, Forest_data[[#All],[Age]],Forest_data[[#All],[Number of trees per ha]]),"")</f>
        <v/>
      </c>
      <c r="L247" s="257" t="str">
        <f>IF(ISNUMBER(J247),IF(ISNA(VLOOKUP(J247,Forest_data[#All],3,FALSE)),#N/A, VLOOKUP(J247,Forest_data[#All],3,FALSE)),"")</f>
        <v/>
      </c>
      <c r="M247" s="257" t="str">
        <f>IF(ISNUMBER(J247),IF(ISNA(VLOOKUP(J247,Forest_data[#All],4,FALSE)),#N/A, VLOOKUP(J247,Forest_data[#All],4,FALSE)),"")</f>
        <v/>
      </c>
      <c r="N247" s="257" t="str">
        <f>IF(ISNUMBER(J247),IF(ISNA(VLOOKUP(J247,Forest_data[#All],5,FALSE)),#N/A, VLOOKUP(J247,Forest_data[#All],5,FALSE)),"")</f>
        <v/>
      </c>
      <c r="O247" s="257" t="str">
        <f>IF(ISNUMBER(J247),IF(ISNA(VLOOKUP(J247,Forest_data[#All],6,FALSE)),#N/A, VLOOKUP(J247,Forest_data[#All],6,FALSE)),"")</f>
        <v/>
      </c>
      <c r="P247" s="257" t="str">
        <f t="shared" si="31"/>
        <v/>
      </c>
      <c r="Q247" s="257" t="str">
        <f t="shared" si="24"/>
        <v/>
      </c>
      <c r="R247" s="257" t="str">
        <f t="shared" si="29"/>
        <v/>
      </c>
      <c r="S247" s="283" t="str">
        <f t="shared" si="25"/>
        <v/>
      </c>
      <c r="T247" s="258" t="str">
        <f t="shared" si="26"/>
        <v/>
      </c>
      <c r="U247" s="257" t="str">
        <f t="shared" si="27"/>
        <v/>
      </c>
      <c r="V247" s="257" t="str">
        <f t="shared" si="30"/>
        <v/>
      </c>
      <c r="W247" s="283" t="str">
        <f t="shared" si="28"/>
        <v/>
      </c>
      <c r="X247" s="253"/>
      <c r="Y247" s="253"/>
      <c r="Z247" s="253"/>
      <c r="AA247" s="253"/>
      <c r="AB247" s="253"/>
      <c r="AC247" s="253"/>
      <c r="AD247" s="253"/>
      <c r="AE247" s="253"/>
      <c r="AF247" s="253"/>
      <c r="AG247" s="253"/>
      <c r="AH247" s="253"/>
      <c r="AI247" s="253"/>
      <c r="AJ247" s="253"/>
      <c r="AK247" s="253"/>
      <c r="AL247" s="253"/>
      <c r="AM247" s="253"/>
      <c r="AN247" s="253"/>
      <c r="AO247" s="253"/>
      <c r="AP247" s="253"/>
      <c r="AQ247" s="253"/>
      <c r="AR247" s="253"/>
      <c r="AS247" s="253"/>
      <c r="AT247" s="253"/>
      <c r="AU247" s="253"/>
    </row>
    <row r="248" spans="9:47" ht="19.5" customHeight="1" x14ac:dyDescent="0.25">
      <c r="I248" s="260">
        <v>233</v>
      </c>
      <c r="J248" s="255" t="str">
        <f>IF(I248&lt;=MAX(Forest_data[Age]),I248,"")</f>
        <v/>
      </c>
      <c r="K248" s="256" t="str">
        <f>IF(ISNUMBER(J248),LOOKUP(J248, Forest_data[[#All],[Age]],Forest_data[[#All],[Number of trees per ha]]),"")</f>
        <v/>
      </c>
      <c r="L248" s="257" t="str">
        <f>IF(ISNUMBER(J248),IF(ISNA(VLOOKUP(J248,Forest_data[#All],3,FALSE)),#N/A, VLOOKUP(J248,Forest_data[#All],3,FALSE)),"")</f>
        <v/>
      </c>
      <c r="M248" s="257" t="str">
        <f>IF(ISNUMBER(J248),IF(ISNA(VLOOKUP(J248,Forest_data[#All],4,FALSE)),#N/A, VLOOKUP(J248,Forest_data[#All],4,FALSE)),"")</f>
        <v/>
      </c>
      <c r="N248" s="257" t="str">
        <f>IF(ISNUMBER(J248),IF(ISNA(VLOOKUP(J248,Forest_data[#All],5,FALSE)),#N/A, VLOOKUP(J248,Forest_data[#All],5,FALSE)),"")</f>
        <v/>
      </c>
      <c r="O248" s="257" t="str">
        <f>IF(ISNUMBER(J248),IF(ISNA(VLOOKUP(J248,Forest_data[#All],6,FALSE)),#N/A, VLOOKUP(J248,Forest_data[#All],6,FALSE)),"")</f>
        <v/>
      </c>
      <c r="P248" s="257" t="str">
        <f t="shared" si="31"/>
        <v/>
      </c>
      <c r="Q248" s="257" t="str">
        <f t="shared" si="24"/>
        <v/>
      </c>
      <c r="R248" s="257" t="str">
        <f t="shared" si="29"/>
        <v/>
      </c>
      <c r="S248" s="283" t="str">
        <f t="shared" si="25"/>
        <v/>
      </c>
      <c r="T248" s="258" t="str">
        <f t="shared" si="26"/>
        <v/>
      </c>
      <c r="U248" s="257" t="str">
        <f t="shared" si="27"/>
        <v/>
      </c>
      <c r="V248" s="257" t="str">
        <f t="shared" si="30"/>
        <v/>
      </c>
      <c r="W248" s="283" t="str">
        <f t="shared" si="28"/>
        <v/>
      </c>
      <c r="X248" s="253"/>
      <c r="Y248" s="253"/>
      <c r="Z248" s="253"/>
      <c r="AA248" s="253"/>
      <c r="AB248" s="253"/>
      <c r="AC248" s="253"/>
      <c r="AD248" s="253"/>
      <c r="AE248" s="253"/>
      <c r="AF248" s="253"/>
      <c r="AG248" s="253"/>
      <c r="AH248" s="253"/>
      <c r="AI248" s="253"/>
      <c r="AJ248" s="253"/>
      <c r="AK248" s="253"/>
      <c r="AL248" s="253"/>
      <c r="AM248" s="253"/>
      <c r="AN248" s="253"/>
      <c r="AO248" s="253"/>
      <c r="AP248" s="253"/>
      <c r="AQ248" s="253"/>
      <c r="AR248" s="253"/>
      <c r="AS248" s="253"/>
      <c r="AT248" s="253"/>
      <c r="AU248" s="253"/>
    </row>
    <row r="249" spans="9:47" ht="19.5" customHeight="1" x14ac:dyDescent="0.25">
      <c r="I249" s="83">
        <v>234</v>
      </c>
      <c r="J249" s="255" t="str">
        <f>IF(I249&lt;=MAX(Forest_data[Age]),I249,"")</f>
        <v/>
      </c>
      <c r="K249" s="256" t="str">
        <f>IF(ISNUMBER(J249),LOOKUP(J249, Forest_data[[#All],[Age]],Forest_data[[#All],[Number of trees per ha]]),"")</f>
        <v/>
      </c>
      <c r="L249" s="257" t="str">
        <f>IF(ISNUMBER(J249),IF(ISNA(VLOOKUP(J249,Forest_data[#All],3,FALSE)),#N/A, VLOOKUP(J249,Forest_data[#All],3,FALSE)),"")</f>
        <v/>
      </c>
      <c r="M249" s="257" t="str">
        <f>IF(ISNUMBER(J249),IF(ISNA(VLOOKUP(J249,Forest_data[#All],4,FALSE)),#N/A, VLOOKUP(J249,Forest_data[#All],4,FALSE)),"")</f>
        <v/>
      </c>
      <c r="N249" s="257" t="str">
        <f>IF(ISNUMBER(J249),IF(ISNA(VLOOKUP(J249,Forest_data[#All],5,FALSE)),#N/A, VLOOKUP(J249,Forest_data[#All],5,FALSE)),"")</f>
        <v/>
      </c>
      <c r="O249" s="257" t="str">
        <f>IF(ISNUMBER(J249),IF(ISNA(VLOOKUP(J249,Forest_data[#All],6,FALSE)),#N/A, VLOOKUP(J249,Forest_data[#All],6,FALSE)),"")</f>
        <v/>
      </c>
      <c r="P249" s="257" t="str">
        <f t="shared" si="31"/>
        <v/>
      </c>
      <c r="Q249" s="257" t="str">
        <f t="shared" si="24"/>
        <v/>
      </c>
      <c r="R249" s="257" t="str">
        <f t="shared" si="29"/>
        <v/>
      </c>
      <c r="S249" s="283" t="str">
        <f t="shared" si="25"/>
        <v/>
      </c>
      <c r="T249" s="258" t="str">
        <f t="shared" si="26"/>
        <v/>
      </c>
      <c r="U249" s="257" t="str">
        <f t="shared" si="27"/>
        <v/>
      </c>
      <c r="V249" s="257" t="str">
        <f t="shared" si="30"/>
        <v/>
      </c>
      <c r="W249" s="283" t="str">
        <f t="shared" si="28"/>
        <v/>
      </c>
      <c r="X249" s="253"/>
      <c r="Y249" s="253"/>
      <c r="Z249" s="253"/>
      <c r="AA249" s="253"/>
      <c r="AB249" s="253"/>
      <c r="AC249" s="253"/>
      <c r="AD249" s="253"/>
      <c r="AE249" s="253"/>
      <c r="AF249" s="253"/>
      <c r="AG249" s="253"/>
      <c r="AH249" s="253"/>
      <c r="AI249" s="253"/>
      <c r="AJ249" s="253"/>
      <c r="AK249" s="253"/>
      <c r="AL249" s="253"/>
      <c r="AM249" s="253"/>
      <c r="AN249" s="253"/>
      <c r="AO249" s="253"/>
      <c r="AP249" s="253"/>
      <c r="AQ249" s="253"/>
      <c r="AR249" s="253"/>
      <c r="AS249" s="253"/>
      <c r="AT249" s="253"/>
      <c r="AU249" s="253"/>
    </row>
    <row r="250" spans="9:47" ht="19.5" customHeight="1" x14ac:dyDescent="0.25">
      <c r="I250" s="83">
        <v>235</v>
      </c>
      <c r="J250" s="255" t="str">
        <f>IF(I250&lt;=MAX(Forest_data[Age]),I250,"")</f>
        <v/>
      </c>
      <c r="K250" s="256" t="str">
        <f>IF(ISNUMBER(J250),LOOKUP(J250, Forest_data[[#All],[Age]],Forest_data[[#All],[Number of trees per ha]]),"")</f>
        <v/>
      </c>
      <c r="L250" s="257" t="str">
        <f>IF(ISNUMBER(J250),IF(ISNA(VLOOKUP(J250,Forest_data[#All],3,FALSE)),#N/A, VLOOKUP(J250,Forest_data[#All],3,FALSE)),"")</f>
        <v/>
      </c>
      <c r="M250" s="257" t="str">
        <f>IF(ISNUMBER(J250),IF(ISNA(VLOOKUP(J250,Forest_data[#All],4,FALSE)),#N/A, VLOOKUP(J250,Forest_data[#All],4,FALSE)),"")</f>
        <v/>
      </c>
      <c r="N250" s="257" t="str">
        <f>IF(ISNUMBER(J250),IF(ISNA(VLOOKUP(J250,Forest_data[#All],5,FALSE)),#N/A, VLOOKUP(J250,Forest_data[#All],5,FALSE)),"")</f>
        <v/>
      </c>
      <c r="O250" s="257" t="str">
        <f>IF(ISNUMBER(J250),IF(ISNA(VLOOKUP(J250,Forest_data[#All],6,FALSE)),#N/A, VLOOKUP(J250,Forest_data[#All],6,FALSE)),"")</f>
        <v/>
      </c>
      <c r="P250" s="257" t="str">
        <f t="shared" si="31"/>
        <v/>
      </c>
      <c r="Q250" s="257" t="str">
        <f t="shared" si="24"/>
        <v/>
      </c>
      <c r="R250" s="257" t="str">
        <f t="shared" si="29"/>
        <v/>
      </c>
      <c r="S250" s="283" t="str">
        <f t="shared" si="25"/>
        <v/>
      </c>
      <c r="T250" s="258" t="str">
        <f t="shared" si="26"/>
        <v/>
      </c>
      <c r="U250" s="257" t="str">
        <f t="shared" si="27"/>
        <v/>
      </c>
      <c r="V250" s="257" t="str">
        <f t="shared" si="30"/>
        <v/>
      </c>
      <c r="W250" s="283" t="str">
        <f t="shared" si="28"/>
        <v/>
      </c>
      <c r="X250" s="253"/>
      <c r="Y250" s="253"/>
      <c r="Z250" s="253"/>
      <c r="AA250" s="253"/>
      <c r="AB250" s="253"/>
      <c r="AC250" s="253"/>
      <c r="AD250" s="253"/>
      <c r="AE250" s="253"/>
      <c r="AF250" s="253"/>
      <c r="AG250" s="253"/>
      <c r="AH250" s="253"/>
      <c r="AI250" s="253"/>
      <c r="AJ250" s="253"/>
      <c r="AK250" s="253"/>
      <c r="AL250" s="253"/>
      <c r="AM250" s="253"/>
      <c r="AN250" s="253"/>
      <c r="AO250" s="253"/>
      <c r="AP250" s="253"/>
      <c r="AQ250" s="253"/>
      <c r="AR250" s="253"/>
      <c r="AS250" s="253"/>
      <c r="AT250" s="253"/>
      <c r="AU250" s="253"/>
    </row>
    <row r="251" spans="9:47" ht="19.5" customHeight="1" x14ac:dyDescent="0.25">
      <c r="I251" s="83">
        <v>236</v>
      </c>
      <c r="J251" s="255" t="str">
        <f>IF(I251&lt;=MAX(Forest_data[Age]),I251,"")</f>
        <v/>
      </c>
      <c r="K251" s="256" t="str">
        <f>IF(ISNUMBER(J251),LOOKUP(J251, Forest_data[[#All],[Age]],Forest_data[[#All],[Number of trees per ha]]),"")</f>
        <v/>
      </c>
      <c r="L251" s="257" t="str">
        <f>IF(ISNUMBER(J251),IF(ISNA(VLOOKUP(J251,Forest_data[#All],3,FALSE)),#N/A, VLOOKUP(J251,Forest_data[#All],3,FALSE)),"")</f>
        <v/>
      </c>
      <c r="M251" s="257" t="str">
        <f>IF(ISNUMBER(J251),IF(ISNA(VLOOKUP(J251,Forest_data[#All],4,FALSE)),#N/A, VLOOKUP(J251,Forest_data[#All],4,FALSE)),"")</f>
        <v/>
      </c>
      <c r="N251" s="257" t="str">
        <f>IF(ISNUMBER(J251),IF(ISNA(VLOOKUP(J251,Forest_data[#All],5,FALSE)),#N/A, VLOOKUP(J251,Forest_data[#All],5,FALSE)),"")</f>
        <v/>
      </c>
      <c r="O251" s="257" t="str">
        <f>IF(ISNUMBER(J251),IF(ISNA(VLOOKUP(J251,Forest_data[#All],6,FALSE)),#N/A, VLOOKUP(J251,Forest_data[#All],6,FALSE)),"")</f>
        <v/>
      </c>
      <c r="P251" s="257" t="str">
        <f t="shared" si="31"/>
        <v/>
      </c>
      <c r="Q251" s="257" t="str">
        <f t="shared" si="24"/>
        <v/>
      </c>
      <c r="R251" s="257" t="str">
        <f t="shared" si="29"/>
        <v/>
      </c>
      <c r="S251" s="283" t="str">
        <f t="shared" si="25"/>
        <v/>
      </c>
      <c r="T251" s="258" t="str">
        <f t="shared" si="26"/>
        <v/>
      </c>
      <c r="U251" s="257" t="str">
        <f t="shared" si="27"/>
        <v/>
      </c>
      <c r="V251" s="257" t="str">
        <f t="shared" si="30"/>
        <v/>
      </c>
      <c r="W251" s="283" t="str">
        <f t="shared" si="28"/>
        <v/>
      </c>
      <c r="X251" s="253"/>
      <c r="Y251" s="253"/>
      <c r="Z251" s="253"/>
      <c r="AA251" s="253"/>
      <c r="AB251" s="253"/>
      <c r="AC251" s="253"/>
      <c r="AD251" s="253"/>
      <c r="AE251" s="253"/>
      <c r="AF251" s="253"/>
      <c r="AG251" s="253"/>
      <c r="AH251" s="253"/>
      <c r="AI251" s="253"/>
      <c r="AJ251" s="253"/>
      <c r="AK251" s="253"/>
      <c r="AL251" s="253"/>
      <c r="AM251" s="253"/>
      <c r="AN251" s="253"/>
      <c r="AO251" s="253"/>
      <c r="AP251" s="253"/>
      <c r="AQ251" s="253"/>
      <c r="AR251" s="253"/>
      <c r="AS251" s="253"/>
      <c r="AT251" s="253"/>
      <c r="AU251" s="253"/>
    </row>
    <row r="252" spans="9:47" ht="19.5" customHeight="1" x14ac:dyDescent="0.25">
      <c r="I252" s="260">
        <v>237</v>
      </c>
      <c r="J252" s="255" t="str">
        <f>IF(I252&lt;=MAX(Forest_data[Age]),I252,"")</f>
        <v/>
      </c>
      <c r="K252" s="256" t="str">
        <f>IF(ISNUMBER(J252),LOOKUP(J252, Forest_data[[#All],[Age]],Forest_data[[#All],[Number of trees per ha]]),"")</f>
        <v/>
      </c>
      <c r="L252" s="257" t="str">
        <f>IF(ISNUMBER(J252),IF(ISNA(VLOOKUP(J252,Forest_data[#All],3,FALSE)),#N/A, VLOOKUP(J252,Forest_data[#All],3,FALSE)),"")</f>
        <v/>
      </c>
      <c r="M252" s="257" t="str">
        <f>IF(ISNUMBER(J252),IF(ISNA(VLOOKUP(J252,Forest_data[#All],4,FALSE)),#N/A, VLOOKUP(J252,Forest_data[#All],4,FALSE)),"")</f>
        <v/>
      </c>
      <c r="N252" s="257" t="str">
        <f>IF(ISNUMBER(J252),IF(ISNA(VLOOKUP(J252,Forest_data[#All],5,FALSE)),#N/A, VLOOKUP(J252,Forest_data[#All],5,FALSE)),"")</f>
        <v/>
      </c>
      <c r="O252" s="257" t="str">
        <f>IF(ISNUMBER(J252),IF(ISNA(VLOOKUP(J252,Forest_data[#All],6,FALSE)),#N/A, VLOOKUP(J252,Forest_data[#All],6,FALSE)),"")</f>
        <v/>
      </c>
      <c r="P252" s="257" t="str">
        <f t="shared" si="31"/>
        <v/>
      </c>
      <c r="Q252" s="257" t="str">
        <f t="shared" si="24"/>
        <v/>
      </c>
      <c r="R252" s="257" t="str">
        <f t="shared" si="29"/>
        <v/>
      </c>
      <c r="S252" s="283" t="str">
        <f t="shared" si="25"/>
        <v/>
      </c>
      <c r="T252" s="258" t="str">
        <f t="shared" si="26"/>
        <v/>
      </c>
      <c r="U252" s="257" t="str">
        <f t="shared" si="27"/>
        <v/>
      </c>
      <c r="V252" s="257" t="str">
        <f t="shared" si="30"/>
        <v/>
      </c>
      <c r="W252" s="283" t="str">
        <f t="shared" si="28"/>
        <v/>
      </c>
      <c r="X252" s="253"/>
      <c r="Y252" s="253"/>
      <c r="Z252" s="253"/>
      <c r="AA252" s="253"/>
      <c r="AB252" s="253"/>
      <c r="AC252" s="253"/>
      <c r="AD252" s="253"/>
      <c r="AE252" s="253"/>
      <c r="AF252" s="253"/>
      <c r="AG252" s="253"/>
      <c r="AH252" s="253"/>
      <c r="AI252" s="253"/>
      <c r="AJ252" s="253"/>
      <c r="AK252" s="253"/>
      <c r="AL252" s="253"/>
      <c r="AM252" s="253"/>
      <c r="AN252" s="253"/>
      <c r="AO252" s="253"/>
      <c r="AP252" s="253"/>
      <c r="AQ252" s="253"/>
      <c r="AR252" s="253"/>
      <c r="AS252" s="253"/>
      <c r="AT252" s="253"/>
      <c r="AU252" s="253"/>
    </row>
    <row r="253" spans="9:47" ht="19.5" customHeight="1" x14ac:dyDescent="0.25">
      <c r="I253" s="83">
        <v>238</v>
      </c>
      <c r="J253" s="255" t="str">
        <f>IF(I253&lt;=MAX(Forest_data[Age]),I253,"")</f>
        <v/>
      </c>
      <c r="K253" s="256" t="str">
        <f>IF(ISNUMBER(J253),LOOKUP(J253, Forest_data[[#All],[Age]],Forest_data[[#All],[Number of trees per ha]]),"")</f>
        <v/>
      </c>
      <c r="L253" s="257" t="str">
        <f>IF(ISNUMBER(J253),IF(ISNA(VLOOKUP(J253,Forest_data[#All],3,FALSE)),#N/A, VLOOKUP(J253,Forest_data[#All],3,FALSE)),"")</f>
        <v/>
      </c>
      <c r="M253" s="257" t="str">
        <f>IF(ISNUMBER(J253),IF(ISNA(VLOOKUP(J253,Forest_data[#All],4,FALSE)),#N/A, VLOOKUP(J253,Forest_data[#All],4,FALSE)),"")</f>
        <v/>
      </c>
      <c r="N253" s="257" t="str">
        <f>IF(ISNUMBER(J253),IF(ISNA(VLOOKUP(J253,Forest_data[#All],5,FALSE)),#N/A, VLOOKUP(J253,Forest_data[#All],5,FALSE)),"")</f>
        <v/>
      </c>
      <c r="O253" s="257" t="str">
        <f>IF(ISNUMBER(J253),IF(ISNA(VLOOKUP(J253,Forest_data[#All],6,FALSE)),#N/A, VLOOKUP(J253,Forest_data[#All],6,FALSE)),"")</f>
        <v/>
      </c>
      <c r="P253" s="257" t="str">
        <f t="shared" si="31"/>
        <v/>
      </c>
      <c r="Q253" s="257" t="str">
        <f t="shared" si="24"/>
        <v/>
      </c>
      <c r="R253" s="257" t="str">
        <f t="shared" si="29"/>
        <v/>
      </c>
      <c r="S253" s="283" t="str">
        <f t="shared" si="25"/>
        <v/>
      </c>
      <c r="T253" s="258" t="str">
        <f t="shared" si="26"/>
        <v/>
      </c>
      <c r="U253" s="257" t="str">
        <f t="shared" si="27"/>
        <v/>
      </c>
      <c r="V253" s="257" t="str">
        <f t="shared" si="30"/>
        <v/>
      </c>
      <c r="W253" s="283" t="str">
        <f t="shared" si="28"/>
        <v/>
      </c>
      <c r="X253" s="253"/>
      <c r="Y253" s="253"/>
      <c r="Z253" s="253"/>
      <c r="AA253" s="253"/>
      <c r="AB253" s="253"/>
      <c r="AC253" s="253"/>
      <c r="AD253" s="253"/>
      <c r="AE253" s="253"/>
      <c r="AF253" s="253"/>
      <c r="AG253" s="253"/>
      <c r="AH253" s="253"/>
      <c r="AI253" s="253"/>
      <c r="AJ253" s="253"/>
      <c r="AK253" s="253"/>
      <c r="AL253" s="253"/>
      <c r="AM253" s="253"/>
      <c r="AN253" s="253"/>
      <c r="AO253" s="253"/>
      <c r="AP253" s="253"/>
      <c r="AQ253" s="253"/>
      <c r="AR253" s="253"/>
      <c r="AS253" s="253"/>
      <c r="AT253" s="253"/>
      <c r="AU253" s="253"/>
    </row>
    <row r="254" spans="9:47" ht="19.5" customHeight="1" x14ac:dyDescent="0.25">
      <c r="I254" s="83">
        <v>239</v>
      </c>
      <c r="J254" s="255" t="str">
        <f>IF(I254&lt;=MAX(Forest_data[Age]),I254,"")</f>
        <v/>
      </c>
      <c r="K254" s="256" t="str">
        <f>IF(ISNUMBER(J254),LOOKUP(J254, Forest_data[[#All],[Age]],Forest_data[[#All],[Number of trees per ha]]),"")</f>
        <v/>
      </c>
      <c r="L254" s="257" t="str">
        <f>IF(ISNUMBER(J254),IF(ISNA(VLOOKUP(J254,Forest_data[#All],3,FALSE)),#N/A, VLOOKUP(J254,Forest_data[#All],3,FALSE)),"")</f>
        <v/>
      </c>
      <c r="M254" s="257" t="str">
        <f>IF(ISNUMBER(J254),IF(ISNA(VLOOKUP(J254,Forest_data[#All],4,FALSE)),#N/A, VLOOKUP(J254,Forest_data[#All],4,FALSE)),"")</f>
        <v/>
      </c>
      <c r="N254" s="257" t="str">
        <f>IF(ISNUMBER(J254),IF(ISNA(VLOOKUP(J254,Forest_data[#All],5,FALSE)),#N/A, VLOOKUP(J254,Forest_data[#All],5,FALSE)),"")</f>
        <v/>
      </c>
      <c r="O254" s="257" t="str">
        <f>IF(ISNUMBER(J254),IF(ISNA(VLOOKUP(J254,Forest_data[#All],6,FALSE)),#N/A, VLOOKUP(J254,Forest_data[#All],6,FALSE)),"")</f>
        <v/>
      </c>
      <c r="P254" s="257" t="str">
        <f t="shared" si="31"/>
        <v/>
      </c>
      <c r="Q254" s="257" t="str">
        <f t="shared" si="24"/>
        <v/>
      </c>
      <c r="R254" s="257" t="str">
        <f t="shared" si="29"/>
        <v/>
      </c>
      <c r="S254" s="283" t="str">
        <f t="shared" si="25"/>
        <v/>
      </c>
      <c r="T254" s="258" t="str">
        <f t="shared" si="26"/>
        <v/>
      </c>
      <c r="U254" s="257" t="str">
        <f t="shared" si="27"/>
        <v/>
      </c>
      <c r="V254" s="257" t="str">
        <f t="shared" si="30"/>
        <v/>
      </c>
      <c r="W254" s="283" t="str">
        <f t="shared" si="28"/>
        <v/>
      </c>
      <c r="X254" s="253"/>
      <c r="Y254" s="253"/>
      <c r="Z254" s="253"/>
      <c r="AA254" s="253"/>
      <c r="AB254" s="253"/>
      <c r="AC254" s="253"/>
      <c r="AD254" s="253"/>
      <c r="AE254" s="253"/>
      <c r="AF254" s="253"/>
      <c r="AG254" s="253"/>
      <c r="AH254" s="253"/>
      <c r="AI254" s="253"/>
      <c r="AJ254" s="253"/>
      <c r="AK254" s="253"/>
      <c r="AL254" s="253"/>
      <c r="AM254" s="253"/>
      <c r="AN254" s="253"/>
      <c r="AO254" s="253"/>
      <c r="AP254" s="253"/>
      <c r="AQ254" s="253"/>
      <c r="AR254" s="253"/>
      <c r="AS254" s="253"/>
      <c r="AT254" s="253"/>
      <c r="AU254" s="253"/>
    </row>
    <row r="255" spans="9:47" ht="19.5" customHeight="1" x14ac:dyDescent="0.25">
      <c r="I255" s="83">
        <v>240</v>
      </c>
      <c r="J255" s="255" t="str">
        <f>IF(I255&lt;=MAX(Forest_data[Age]),I255,"")</f>
        <v/>
      </c>
      <c r="K255" s="256" t="str">
        <f>IF(ISNUMBER(J255),LOOKUP(J255, Forest_data[[#All],[Age]],Forest_data[[#All],[Number of trees per ha]]),"")</f>
        <v/>
      </c>
      <c r="L255" s="257" t="str">
        <f>IF(ISNUMBER(J255),IF(ISNA(VLOOKUP(J255,Forest_data[#All],3,FALSE)),#N/A, VLOOKUP(J255,Forest_data[#All],3,FALSE)),"")</f>
        <v/>
      </c>
      <c r="M255" s="257" t="str">
        <f>IF(ISNUMBER(J255),IF(ISNA(VLOOKUP(J255,Forest_data[#All],4,FALSE)),#N/A, VLOOKUP(J255,Forest_data[#All],4,FALSE)),"")</f>
        <v/>
      </c>
      <c r="N255" s="257" t="str">
        <f>IF(ISNUMBER(J255),IF(ISNA(VLOOKUP(J255,Forest_data[#All],5,FALSE)),#N/A, VLOOKUP(J255,Forest_data[#All],5,FALSE)),"")</f>
        <v/>
      </c>
      <c r="O255" s="257" t="str">
        <f>IF(ISNUMBER(J255),IF(ISNA(VLOOKUP(J255,Forest_data[#All],6,FALSE)),#N/A, VLOOKUP(J255,Forest_data[#All],6,FALSE)),"")</f>
        <v/>
      </c>
      <c r="P255" s="257" t="str">
        <f t="shared" si="31"/>
        <v/>
      </c>
      <c r="Q255" s="257" t="str">
        <f t="shared" si="24"/>
        <v/>
      </c>
      <c r="R255" s="257" t="str">
        <f t="shared" si="29"/>
        <v/>
      </c>
      <c r="S255" s="283" t="str">
        <f t="shared" si="25"/>
        <v/>
      </c>
      <c r="T255" s="258" t="str">
        <f t="shared" si="26"/>
        <v/>
      </c>
      <c r="U255" s="257" t="str">
        <f t="shared" si="27"/>
        <v/>
      </c>
      <c r="V255" s="257" t="str">
        <f t="shared" si="30"/>
        <v/>
      </c>
      <c r="W255" s="283" t="str">
        <f t="shared" si="28"/>
        <v/>
      </c>
      <c r="X255" s="253"/>
      <c r="Y255" s="253"/>
      <c r="Z255" s="253"/>
      <c r="AA255" s="253"/>
      <c r="AB255" s="253"/>
      <c r="AC255" s="253"/>
      <c r="AD255" s="253"/>
      <c r="AE255" s="253"/>
      <c r="AF255" s="253"/>
      <c r="AG255" s="253"/>
      <c r="AH255" s="253"/>
      <c r="AI255" s="253"/>
      <c r="AJ255" s="253"/>
      <c r="AK255" s="253"/>
      <c r="AL255" s="253"/>
      <c r="AM255" s="253"/>
      <c r="AN255" s="253"/>
      <c r="AO255" s="253"/>
      <c r="AP255" s="253"/>
      <c r="AQ255" s="253"/>
      <c r="AR255" s="253"/>
      <c r="AS255" s="253"/>
      <c r="AT255" s="253"/>
      <c r="AU255" s="253"/>
    </row>
    <row r="256" spans="9:47" ht="19.5" customHeight="1" x14ac:dyDescent="0.25">
      <c r="I256" s="260">
        <v>241</v>
      </c>
      <c r="J256" s="255" t="str">
        <f>IF(I256&lt;=MAX(Forest_data[Age]),I256,"")</f>
        <v/>
      </c>
      <c r="K256" s="256" t="str">
        <f>IF(ISNUMBER(J256),LOOKUP(J256, Forest_data[[#All],[Age]],Forest_data[[#All],[Number of trees per ha]]),"")</f>
        <v/>
      </c>
      <c r="L256" s="257" t="str">
        <f>IF(ISNUMBER(J256),IF(ISNA(VLOOKUP(J256,Forest_data[#All],3,FALSE)),#N/A, VLOOKUP(J256,Forest_data[#All],3,FALSE)),"")</f>
        <v/>
      </c>
      <c r="M256" s="257" t="str">
        <f>IF(ISNUMBER(J256),IF(ISNA(VLOOKUP(J256,Forest_data[#All],4,FALSE)),#N/A, VLOOKUP(J256,Forest_data[#All],4,FALSE)),"")</f>
        <v/>
      </c>
      <c r="N256" s="257" t="str">
        <f>IF(ISNUMBER(J256),IF(ISNA(VLOOKUP(J256,Forest_data[#All],5,FALSE)),#N/A, VLOOKUP(J256,Forest_data[#All],5,FALSE)),"")</f>
        <v/>
      </c>
      <c r="O256" s="257" t="str">
        <f>IF(ISNUMBER(J256),IF(ISNA(VLOOKUP(J256,Forest_data[#All],6,FALSE)),#N/A, VLOOKUP(J256,Forest_data[#All],6,FALSE)),"")</f>
        <v/>
      </c>
      <c r="P256" s="257" t="str">
        <f t="shared" si="31"/>
        <v/>
      </c>
      <c r="Q256" s="257" t="str">
        <f t="shared" si="24"/>
        <v/>
      </c>
      <c r="R256" s="257" t="str">
        <f t="shared" si="29"/>
        <v/>
      </c>
      <c r="S256" s="283" t="str">
        <f t="shared" si="25"/>
        <v/>
      </c>
      <c r="T256" s="258" t="str">
        <f t="shared" si="26"/>
        <v/>
      </c>
      <c r="U256" s="257" t="str">
        <f t="shared" si="27"/>
        <v/>
      </c>
      <c r="V256" s="257" t="str">
        <f t="shared" si="30"/>
        <v/>
      </c>
      <c r="W256" s="283" t="str">
        <f t="shared" si="28"/>
        <v/>
      </c>
      <c r="X256" s="253"/>
      <c r="Y256" s="253"/>
      <c r="Z256" s="253"/>
      <c r="AA256" s="253"/>
      <c r="AB256" s="253"/>
      <c r="AC256" s="253"/>
      <c r="AD256" s="253"/>
      <c r="AE256" s="253"/>
      <c r="AF256" s="253"/>
      <c r="AG256" s="253"/>
      <c r="AH256" s="253"/>
      <c r="AI256" s="253"/>
      <c r="AJ256" s="253"/>
      <c r="AK256" s="253"/>
      <c r="AL256" s="253"/>
      <c r="AM256" s="253"/>
      <c r="AN256" s="253"/>
      <c r="AO256" s="253"/>
      <c r="AP256" s="253"/>
      <c r="AQ256" s="253"/>
      <c r="AR256" s="253"/>
      <c r="AS256" s="253"/>
      <c r="AT256" s="253"/>
      <c r="AU256" s="253"/>
    </row>
    <row r="257" spans="9:47" ht="19.5" customHeight="1" x14ac:dyDescent="0.25">
      <c r="I257" s="83">
        <v>242</v>
      </c>
      <c r="J257" s="255" t="str">
        <f>IF(I257&lt;=MAX(Forest_data[Age]),I257,"")</f>
        <v/>
      </c>
      <c r="K257" s="256" t="str">
        <f>IF(ISNUMBER(J257),LOOKUP(J257, Forest_data[[#All],[Age]],Forest_data[[#All],[Number of trees per ha]]),"")</f>
        <v/>
      </c>
      <c r="L257" s="257" t="str">
        <f>IF(ISNUMBER(J257),IF(ISNA(VLOOKUP(J257,Forest_data[#All],3,FALSE)),#N/A, VLOOKUP(J257,Forest_data[#All],3,FALSE)),"")</f>
        <v/>
      </c>
      <c r="M257" s="257" t="str">
        <f>IF(ISNUMBER(J257),IF(ISNA(VLOOKUP(J257,Forest_data[#All],4,FALSE)),#N/A, VLOOKUP(J257,Forest_data[#All],4,FALSE)),"")</f>
        <v/>
      </c>
      <c r="N257" s="257" t="str">
        <f>IF(ISNUMBER(J257),IF(ISNA(VLOOKUP(J257,Forest_data[#All],5,FALSE)),#N/A, VLOOKUP(J257,Forest_data[#All],5,FALSE)),"")</f>
        <v/>
      </c>
      <c r="O257" s="257" t="str">
        <f>IF(ISNUMBER(J257),IF(ISNA(VLOOKUP(J257,Forest_data[#All],6,FALSE)),#N/A, VLOOKUP(J257,Forest_data[#All],6,FALSE)),"")</f>
        <v/>
      </c>
      <c r="P257" s="257" t="str">
        <f t="shared" si="31"/>
        <v/>
      </c>
      <c r="Q257" s="257" t="str">
        <f t="shared" si="24"/>
        <v/>
      </c>
      <c r="R257" s="257" t="str">
        <f t="shared" si="29"/>
        <v/>
      </c>
      <c r="S257" s="283" t="str">
        <f t="shared" si="25"/>
        <v/>
      </c>
      <c r="T257" s="258" t="str">
        <f t="shared" si="26"/>
        <v/>
      </c>
      <c r="U257" s="257" t="str">
        <f t="shared" si="27"/>
        <v/>
      </c>
      <c r="V257" s="257" t="str">
        <f t="shared" si="30"/>
        <v/>
      </c>
      <c r="W257" s="283" t="str">
        <f t="shared" si="28"/>
        <v/>
      </c>
      <c r="X257" s="253"/>
      <c r="Y257" s="253"/>
      <c r="Z257" s="253"/>
      <c r="AA257" s="253"/>
      <c r="AB257" s="253"/>
      <c r="AC257" s="253"/>
      <c r="AD257" s="253"/>
      <c r="AE257" s="253"/>
      <c r="AF257" s="253"/>
      <c r="AG257" s="253"/>
      <c r="AH257" s="253"/>
      <c r="AI257" s="253"/>
      <c r="AJ257" s="253"/>
      <c r="AK257" s="253"/>
      <c r="AL257" s="253"/>
      <c r="AM257" s="253"/>
      <c r="AN257" s="253"/>
      <c r="AO257" s="253"/>
      <c r="AP257" s="253"/>
      <c r="AQ257" s="253"/>
      <c r="AR257" s="253"/>
      <c r="AS257" s="253"/>
      <c r="AT257" s="253"/>
      <c r="AU257" s="253"/>
    </row>
    <row r="258" spans="9:47" ht="19.5" customHeight="1" x14ac:dyDescent="0.25">
      <c r="I258" s="83">
        <v>243</v>
      </c>
      <c r="J258" s="255" t="str">
        <f>IF(I258&lt;=MAX(Forest_data[Age]),I258,"")</f>
        <v/>
      </c>
      <c r="K258" s="256" t="str">
        <f>IF(ISNUMBER(J258),LOOKUP(J258, Forest_data[[#All],[Age]],Forest_data[[#All],[Number of trees per ha]]),"")</f>
        <v/>
      </c>
      <c r="L258" s="257" t="str">
        <f>IF(ISNUMBER(J258),IF(ISNA(VLOOKUP(J258,Forest_data[#All],3,FALSE)),#N/A, VLOOKUP(J258,Forest_data[#All],3,FALSE)),"")</f>
        <v/>
      </c>
      <c r="M258" s="257" t="str">
        <f>IF(ISNUMBER(J258),IF(ISNA(VLOOKUP(J258,Forest_data[#All],4,FALSE)),#N/A, VLOOKUP(J258,Forest_data[#All],4,FALSE)),"")</f>
        <v/>
      </c>
      <c r="N258" s="257" t="str">
        <f>IF(ISNUMBER(J258),IF(ISNA(VLOOKUP(J258,Forest_data[#All],5,FALSE)),#N/A, VLOOKUP(J258,Forest_data[#All],5,FALSE)),"")</f>
        <v/>
      </c>
      <c r="O258" s="257" t="str">
        <f>IF(ISNUMBER(J258),IF(ISNA(VLOOKUP(J258,Forest_data[#All],6,FALSE)),#N/A, VLOOKUP(J258,Forest_data[#All],6,FALSE)),"")</f>
        <v/>
      </c>
      <c r="P258" s="257" t="str">
        <f t="shared" si="31"/>
        <v/>
      </c>
      <c r="Q258" s="257" t="str">
        <f t="shared" si="24"/>
        <v/>
      </c>
      <c r="R258" s="257" t="str">
        <f t="shared" si="29"/>
        <v/>
      </c>
      <c r="S258" s="283" t="str">
        <f t="shared" si="25"/>
        <v/>
      </c>
      <c r="T258" s="258" t="str">
        <f t="shared" si="26"/>
        <v/>
      </c>
      <c r="U258" s="257" t="str">
        <f t="shared" si="27"/>
        <v/>
      </c>
      <c r="V258" s="257" t="str">
        <f t="shared" si="30"/>
        <v/>
      </c>
      <c r="W258" s="283" t="str">
        <f t="shared" si="28"/>
        <v/>
      </c>
      <c r="X258" s="253"/>
      <c r="Y258" s="253"/>
      <c r="Z258" s="253"/>
      <c r="AA258" s="253"/>
      <c r="AB258" s="253"/>
      <c r="AC258" s="253"/>
      <c r="AD258" s="253"/>
      <c r="AE258" s="253"/>
      <c r="AF258" s="253"/>
      <c r="AG258" s="253"/>
      <c r="AH258" s="253"/>
      <c r="AI258" s="253"/>
      <c r="AJ258" s="253"/>
      <c r="AK258" s="253"/>
      <c r="AL258" s="253"/>
      <c r="AM258" s="253"/>
      <c r="AN258" s="253"/>
      <c r="AO258" s="253"/>
      <c r="AP258" s="253"/>
      <c r="AQ258" s="253"/>
      <c r="AR258" s="253"/>
      <c r="AS258" s="253"/>
      <c r="AT258" s="253"/>
      <c r="AU258" s="253"/>
    </row>
    <row r="259" spans="9:47" ht="19.5" customHeight="1" x14ac:dyDescent="0.25">
      <c r="I259" s="83">
        <v>244</v>
      </c>
      <c r="J259" s="255" t="str">
        <f>IF(I259&lt;=MAX(Forest_data[Age]),I259,"")</f>
        <v/>
      </c>
      <c r="K259" s="256" t="str">
        <f>IF(ISNUMBER(J259),LOOKUP(J259, Forest_data[[#All],[Age]],Forest_data[[#All],[Number of trees per ha]]),"")</f>
        <v/>
      </c>
      <c r="L259" s="257" t="str">
        <f>IF(ISNUMBER(J259),IF(ISNA(VLOOKUP(J259,Forest_data[#All],3,FALSE)),#N/A, VLOOKUP(J259,Forest_data[#All],3,FALSE)),"")</f>
        <v/>
      </c>
      <c r="M259" s="257" t="str">
        <f>IF(ISNUMBER(J259),IF(ISNA(VLOOKUP(J259,Forest_data[#All],4,FALSE)),#N/A, VLOOKUP(J259,Forest_data[#All],4,FALSE)),"")</f>
        <v/>
      </c>
      <c r="N259" s="257" t="str">
        <f>IF(ISNUMBER(J259),IF(ISNA(VLOOKUP(J259,Forest_data[#All],5,FALSE)),#N/A, VLOOKUP(J259,Forest_data[#All],5,FALSE)),"")</f>
        <v/>
      </c>
      <c r="O259" s="257" t="str">
        <f>IF(ISNUMBER(J259),IF(ISNA(VLOOKUP(J259,Forest_data[#All],6,FALSE)),#N/A, VLOOKUP(J259,Forest_data[#All],6,FALSE)),"")</f>
        <v/>
      </c>
      <c r="P259" s="257" t="str">
        <f t="shared" si="31"/>
        <v/>
      </c>
      <c r="Q259" s="257" t="str">
        <f t="shared" si="24"/>
        <v/>
      </c>
      <c r="R259" s="257" t="str">
        <f t="shared" si="29"/>
        <v/>
      </c>
      <c r="S259" s="283" t="str">
        <f t="shared" si="25"/>
        <v/>
      </c>
      <c r="T259" s="258" t="str">
        <f t="shared" si="26"/>
        <v/>
      </c>
      <c r="U259" s="257" t="str">
        <f t="shared" si="27"/>
        <v/>
      </c>
      <c r="V259" s="257" t="str">
        <f t="shared" si="30"/>
        <v/>
      </c>
      <c r="W259" s="283" t="str">
        <f t="shared" si="28"/>
        <v/>
      </c>
      <c r="X259" s="253"/>
      <c r="Y259" s="253"/>
      <c r="Z259" s="253"/>
      <c r="AA259" s="253"/>
      <c r="AB259" s="253"/>
      <c r="AC259" s="253"/>
      <c r="AD259" s="253"/>
      <c r="AE259" s="253"/>
      <c r="AF259" s="253"/>
      <c r="AG259" s="253"/>
      <c r="AH259" s="253"/>
      <c r="AI259" s="253"/>
      <c r="AJ259" s="253"/>
      <c r="AK259" s="253"/>
      <c r="AL259" s="253"/>
      <c r="AM259" s="253"/>
      <c r="AN259" s="253"/>
      <c r="AO259" s="253"/>
      <c r="AP259" s="253"/>
      <c r="AQ259" s="253"/>
      <c r="AR259" s="253"/>
      <c r="AS259" s="253"/>
      <c r="AT259" s="253"/>
      <c r="AU259" s="253"/>
    </row>
    <row r="260" spans="9:47" ht="19.5" customHeight="1" x14ac:dyDescent="0.25">
      <c r="I260" s="260">
        <v>245</v>
      </c>
      <c r="J260" s="255" t="str">
        <f>IF(I260&lt;=MAX(Forest_data[Age]),I260,"")</f>
        <v/>
      </c>
      <c r="K260" s="256" t="str">
        <f>IF(ISNUMBER(J260),LOOKUP(J260, Forest_data[[#All],[Age]],Forest_data[[#All],[Number of trees per ha]]),"")</f>
        <v/>
      </c>
      <c r="L260" s="257" t="str">
        <f>IF(ISNUMBER(J260),IF(ISNA(VLOOKUP(J260,Forest_data[#All],3,FALSE)),#N/A, VLOOKUP(J260,Forest_data[#All],3,FALSE)),"")</f>
        <v/>
      </c>
      <c r="M260" s="257" t="str">
        <f>IF(ISNUMBER(J260),IF(ISNA(VLOOKUP(J260,Forest_data[#All],4,FALSE)),#N/A, VLOOKUP(J260,Forest_data[#All],4,FALSE)),"")</f>
        <v/>
      </c>
      <c r="N260" s="257" t="str">
        <f>IF(ISNUMBER(J260),IF(ISNA(VLOOKUP(J260,Forest_data[#All],5,FALSE)),#N/A, VLOOKUP(J260,Forest_data[#All],5,FALSE)),"")</f>
        <v/>
      </c>
      <c r="O260" s="257" t="str">
        <f>IF(ISNUMBER(J260),IF(ISNA(VLOOKUP(J260,Forest_data[#All],6,FALSE)),#N/A, VLOOKUP(J260,Forest_data[#All],6,FALSE)),"")</f>
        <v/>
      </c>
      <c r="P260" s="257" t="str">
        <f t="shared" si="31"/>
        <v/>
      </c>
      <c r="Q260" s="257" t="str">
        <f t="shared" si="24"/>
        <v/>
      </c>
      <c r="R260" s="257" t="str">
        <f t="shared" si="29"/>
        <v/>
      </c>
      <c r="S260" s="283" t="str">
        <f t="shared" si="25"/>
        <v/>
      </c>
      <c r="T260" s="258" t="str">
        <f t="shared" si="26"/>
        <v/>
      </c>
      <c r="U260" s="257" t="str">
        <f t="shared" si="27"/>
        <v/>
      </c>
      <c r="V260" s="257" t="str">
        <f t="shared" si="30"/>
        <v/>
      </c>
      <c r="W260" s="283" t="str">
        <f t="shared" si="28"/>
        <v/>
      </c>
      <c r="X260" s="253"/>
      <c r="Y260" s="253"/>
      <c r="Z260" s="253"/>
      <c r="AA260" s="253"/>
      <c r="AB260" s="253"/>
      <c r="AC260" s="253"/>
      <c r="AD260" s="253"/>
      <c r="AE260" s="253"/>
      <c r="AF260" s="253"/>
      <c r="AG260" s="253"/>
      <c r="AH260" s="253"/>
      <c r="AI260" s="253"/>
      <c r="AJ260" s="253"/>
      <c r="AK260" s="253"/>
      <c r="AL260" s="253"/>
      <c r="AM260" s="253"/>
      <c r="AN260" s="253"/>
      <c r="AO260" s="253"/>
      <c r="AP260" s="253"/>
      <c r="AQ260" s="253"/>
      <c r="AR260" s="253"/>
      <c r="AS260" s="253"/>
      <c r="AT260" s="253"/>
      <c r="AU260" s="253"/>
    </row>
    <row r="261" spans="9:47" ht="19.5" customHeight="1" x14ac:dyDescent="0.25">
      <c r="I261" s="83">
        <v>246</v>
      </c>
      <c r="J261" s="255" t="str">
        <f>IF(I261&lt;=MAX(Forest_data[Age]),I261,"")</f>
        <v/>
      </c>
      <c r="K261" s="256" t="str">
        <f>IF(ISNUMBER(J261),LOOKUP(J261, Forest_data[[#All],[Age]],Forest_data[[#All],[Number of trees per ha]]),"")</f>
        <v/>
      </c>
      <c r="L261" s="257" t="str">
        <f>IF(ISNUMBER(J261),IF(ISNA(VLOOKUP(J261,Forest_data[#All],3,FALSE)),#N/A, VLOOKUP(J261,Forest_data[#All],3,FALSE)),"")</f>
        <v/>
      </c>
      <c r="M261" s="257" t="str">
        <f>IF(ISNUMBER(J261),IF(ISNA(VLOOKUP(J261,Forest_data[#All],4,FALSE)),#N/A, VLOOKUP(J261,Forest_data[#All],4,FALSE)),"")</f>
        <v/>
      </c>
      <c r="N261" s="257" t="str">
        <f>IF(ISNUMBER(J261),IF(ISNA(VLOOKUP(J261,Forest_data[#All],5,FALSE)),#N/A, VLOOKUP(J261,Forest_data[#All],5,FALSE)),"")</f>
        <v/>
      </c>
      <c r="O261" s="257" t="str">
        <f>IF(ISNUMBER(J261),IF(ISNA(VLOOKUP(J261,Forest_data[#All],6,FALSE)),#N/A, VLOOKUP(J261,Forest_data[#All],6,FALSE)),"")</f>
        <v/>
      </c>
      <c r="P261" s="257" t="str">
        <f t="shared" si="31"/>
        <v/>
      </c>
      <c r="Q261" s="257" t="str">
        <f t="shared" si="24"/>
        <v/>
      </c>
      <c r="R261" s="257" t="str">
        <f t="shared" si="29"/>
        <v/>
      </c>
      <c r="S261" s="283" t="str">
        <f t="shared" si="25"/>
        <v/>
      </c>
      <c r="T261" s="258" t="str">
        <f t="shared" si="26"/>
        <v/>
      </c>
      <c r="U261" s="257" t="str">
        <f t="shared" si="27"/>
        <v/>
      </c>
      <c r="V261" s="257" t="str">
        <f t="shared" si="30"/>
        <v/>
      </c>
      <c r="W261" s="283" t="str">
        <f t="shared" si="28"/>
        <v/>
      </c>
      <c r="X261" s="253"/>
      <c r="Y261" s="253"/>
      <c r="Z261" s="253"/>
      <c r="AA261" s="253"/>
      <c r="AB261" s="253"/>
      <c r="AC261" s="253"/>
      <c r="AD261" s="253"/>
      <c r="AE261" s="253"/>
      <c r="AF261" s="253"/>
      <c r="AG261" s="253"/>
      <c r="AH261" s="253"/>
      <c r="AI261" s="253"/>
      <c r="AJ261" s="253"/>
      <c r="AK261" s="253"/>
      <c r="AL261" s="253"/>
      <c r="AM261" s="253"/>
      <c r="AN261" s="253"/>
      <c r="AO261" s="253"/>
      <c r="AP261" s="253"/>
      <c r="AQ261" s="253"/>
      <c r="AR261" s="253"/>
      <c r="AS261" s="253"/>
      <c r="AT261" s="253"/>
      <c r="AU261" s="253"/>
    </row>
    <row r="262" spans="9:47" ht="19.5" customHeight="1" x14ac:dyDescent="0.25">
      <c r="I262" s="83">
        <v>247</v>
      </c>
      <c r="J262" s="255" t="str">
        <f>IF(I262&lt;=MAX(Forest_data[Age]),I262,"")</f>
        <v/>
      </c>
      <c r="K262" s="256" t="str">
        <f>IF(ISNUMBER(J262),LOOKUP(J262, Forest_data[[#All],[Age]],Forest_data[[#All],[Number of trees per ha]]),"")</f>
        <v/>
      </c>
      <c r="L262" s="257" t="str">
        <f>IF(ISNUMBER(J262),IF(ISNA(VLOOKUP(J262,Forest_data[#All],3,FALSE)),#N/A, VLOOKUP(J262,Forest_data[#All],3,FALSE)),"")</f>
        <v/>
      </c>
      <c r="M262" s="257" t="str">
        <f>IF(ISNUMBER(J262),IF(ISNA(VLOOKUP(J262,Forest_data[#All],4,FALSE)),#N/A, VLOOKUP(J262,Forest_data[#All],4,FALSE)),"")</f>
        <v/>
      </c>
      <c r="N262" s="257" t="str">
        <f>IF(ISNUMBER(J262),IF(ISNA(VLOOKUP(J262,Forest_data[#All],5,FALSE)),#N/A, VLOOKUP(J262,Forest_data[#All],5,FALSE)),"")</f>
        <v/>
      </c>
      <c r="O262" s="257" t="str">
        <f>IF(ISNUMBER(J262),IF(ISNA(VLOOKUP(J262,Forest_data[#All],6,FALSE)),#N/A, VLOOKUP(J262,Forest_data[#All],6,FALSE)),"")</f>
        <v/>
      </c>
      <c r="P262" s="257" t="str">
        <f t="shared" si="31"/>
        <v/>
      </c>
      <c r="Q262" s="257" t="str">
        <f t="shared" si="24"/>
        <v/>
      </c>
      <c r="R262" s="257" t="str">
        <f t="shared" si="29"/>
        <v/>
      </c>
      <c r="S262" s="283" t="str">
        <f t="shared" si="25"/>
        <v/>
      </c>
      <c r="T262" s="258" t="str">
        <f t="shared" si="26"/>
        <v/>
      </c>
      <c r="U262" s="257" t="str">
        <f t="shared" si="27"/>
        <v/>
      </c>
      <c r="V262" s="257" t="str">
        <f t="shared" si="30"/>
        <v/>
      </c>
      <c r="W262" s="283" t="str">
        <f t="shared" si="28"/>
        <v/>
      </c>
      <c r="X262" s="253"/>
      <c r="Y262" s="253"/>
      <c r="Z262" s="253"/>
      <c r="AA262" s="253"/>
      <c r="AB262" s="253"/>
      <c r="AC262" s="253"/>
      <c r="AD262" s="253"/>
      <c r="AE262" s="253"/>
      <c r="AF262" s="253"/>
      <c r="AG262" s="253"/>
      <c r="AH262" s="253"/>
      <c r="AI262" s="253"/>
      <c r="AJ262" s="253"/>
      <c r="AK262" s="253"/>
      <c r="AL262" s="253"/>
      <c r="AM262" s="253"/>
      <c r="AN262" s="253"/>
      <c r="AO262" s="253"/>
      <c r="AP262" s="253"/>
      <c r="AQ262" s="253"/>
      <c r="AR262" s="253"/>
      <c r="AS262" s="253"/>
      <c r="AT262" s="253"/>
      <c r="AU262" s="253"/>
    </row>
    <row r="263" spans="9:47" ht="19.5" customHeight="1" x14ac:dyDescent="0.25">
      <c r="I263" s="83">
        <v>248</v>
      </c>
      <c r="J263" s="255" t="str">
        <f>IF(I263&lt;=MAX(Forest_data[Age]),I263,"")</f>
        <v/>
      </c>
      <c r="K263" s="256" t="str">
        <f>IF(ISNUMBER(J263),LOOKUP(J263, Forest_data[[#All],[Age]],Forest_data[[#All],[Number of trees per ha]]),"")</f>
        <v/>
      </c>
      <c r="L263" s="257" t="str">
        <f>IF(ISNUMBER(J263),IF(ISNA(VLOOKUP(J263,Forest_data[#All],3,FALSE)),#N/A, VLOOKUP(J263,Forest_data[#All],3,FALSE)),"")</f>
        <v/>
      </c>
      <c r="M263" s="257" t="str">
        <f>IF(ISNUMBER(J263),IF(ISNA(VLOOKUP(J263,Forest_data[#All],4,FALSE)),#N/A, VLOOKUP(J263,Forest_data[#All],4,FALSE)),"")</f>
        <v/>
      </c>
      <c r="N263" s="257" t="str">
        <f>IF(ISNUMBER(J263),IF(ISNA(VLOOKUP(J263,Forest_data[#All],5,FALSE)),#N/A, VLOOKUP(J263,Forest_data[#All],5,FALSE)),"")</f>
        <v/>
      </c>
      <c r="O263" s="257" t="str">
        <f>IF(ISNUMBER(J263),IF(ISNA(VLOOKUP(J263,Forest_data[#All],6,FALSE)),#N/A, VLOOKUP(J263,Forest_data[#All],6,FALSE)),"")</f>
        <v/>
      </c>
      <c r="P263" s="257" t="str">
        <f t="shared" si="31"/>
        <v/>
      </c>
      <c r="Q263" s="257" t="str">
        <f t="shared" si="24"/>
        <v/>
      </c>
      <c r="R263" s="257" t="str">
        <f t="shared" si="29"/>
        <v/>
      </c>
      <c r="S263" s="283" t="str">
        <f t="shared" si="25"/>
        <v/>
      </c>
      <c r="T263" s="258" t="str">
        <f t="shared" si="26"/>
        <v/>
      </c>
      <c r="U263" s="257" t="str">
        <f t="shared" si="27"/>
        <v/>
      </c>
      <c r="V263" s="257" t="str">
        <f t="shared" si="30"/>
        <v/>
      </c>
      <c r="W263" s="283" t="str">
        <f t="shared" si="28"/>
        <v/>
      </c>
      <c r="X263" s="253"/>
      <c r="Y263" s="253"/>
      <c r="Z263" s="253"/>
      <c r="AA263" s="253"/>
      <c r="AB263" s="253"/>
      <c r="AC263" s="253"/>
      <c r="AD263" s="253"/>
      <c r="AE263" s="253"/>
      <c r="AF263" s="253"/>
      <c r="AG263" s="253"/>
      <c r="AH263" s="253"/>
      <c r="AI263" s="253"/>
      <c r="AJ263" s="253"/>
      <c r="AK263" s="253"/>
      <c r="AL263" s="253"/>
      <c r="AM263" s="253"/>
      <c r="AN263" s="253"/>
      <c r="AO263" s="253"/>
      <c r="AP263" s="253"/>
      <c r="AQ263" s="253"/>
      <c r="AR263" s="253"/>
      <c r="AS263" s="253"/>
      <c r="AT263" s="253"/>
      <c r="AU263" s="253"/>
    </row>
    <row r="264" spans="9:47" ht="19.5" customHeight="1" x14ac:dyDescent="0.25">
      <c r="I264" s="260">
        <v>249</v>
      </c>
      <c r="J264" s="255" t="str">
        <f>IF(I264&lt;=MAX(Forest_data[Age]),I264,"")</f>
        <v/>
      </c>
      <c r="K264" s="256" t="str">
        <f>IF(ISNUMBER(J264),LOOKUP(J264, Forest_data[[#All],[Age]],Forest_data[[#All],[Number of trees per ha]]),"")</f>
        <v/>
      </c>
      <c r="L264" s="257" t="str">
        <f>IF(ISNUMBER(J264),IF(ISNA(VLOOKUP(J264,Forest_data[#All],3,FALSE)),#N/A, VLOOKUP(J264,Forest_data[#All],3,FALSE)),"")</f>
        <v/>
      </c>
      <c r="M264" s="257" t="str">
        <f>IF(ISNUMBER(J264),IF(ISNA(VLOOKUP(J264,Forest_data[#All],4,FALSE)),#N/A, VLOOKUP(J264,Forest_data[#All],4,FALSE)),"")</f>
        <v/>
      </c>
      <c r="N264" s="257" t="str">
        <f>IF(ISNUMBER(J264),IF(ISNA(VLOOKUP(J264,Forest_data[#All],5,FALSE)),#N/A, VLOOKUP(J264,Forest_data[#All],5,FALSE)),"")</f>
        <v/>
      </c>
      <c r="O264" s="257" t="str">
        <f>IF(ISNUMBER(J264),IF(ISNA(VLOOKUP(J264,Forest_data[#All],6,FALSE)),#N/A, VLOOKUP(J264,Forest_data[#All],6,FALSE)),"")</f>
        <v/>
      </c>
      <c r="P264" s="257" t="str">
        <f t="shared" si="31"/>
        <v/>
      </c>
      <c r="Q264" s="257" t="str">
        <f t="shared" si="24"/>
        <v/>
      </c>
      <c r="R264" s="257" t="str">
        <f t="shared" si="29"/>
        <v/>
      </c>
      <c r="S264" s="283" t="str">
        <f t="shared" si="25"/>
        <v/>
      </c>
      <c r="T264" s="258" t="str">
        <f t="shared" si="26"/>
        <v/>
      </c>
      <c r="U264" s="257" t="str">
        <f t="shared" si="27"/>
        <v/>
      </c>
      <c r="V264" s="257" t="str">
        <f t="shared" si="30"/>
        <v/>
      </c>
      <c r="W264" s="283" t="str">
        <f t="shared" si="28"/>
        <v/>
      </c>
      <c r="X264" s="253"/>
      <c r="Y264" s="253"/>
      <c r="Z264" s="253"/>
      <c r="AA264" s="253"/>
      <c r="AB264" s="253"/>
      <c r="AC264" s="253"/>
      <c r="AD264" s="253"/>
      <c r="AE264" s="253"/>
      <c r="AF264" s="253"/>
      <c r="AG264" s="253"/>
      <c r="AH264" s="253"/>
      <c r="AI264" s="253"/>
      <c r="AJ264" s="253"/>
      <c r="AK264" s="253"/>
      <c r="AL264" s="253"/>
      <c r="AM264" s="253"/>
      <c r="AN264" s="253"/>
      <c r="AO264" s="253"/>
      <c r="AP264" s="253"/>
      <c r="AQ264" s="253"/>
      <c r="AR264" s="253"/>
      <c r="AS264" s="253"/>
      <c r="AT264" s="253"/>
      <c r="AU264" s="253"/>
    </row>
    <row r="265" spans="9:47" ht="19.5" customHeight="1" x14ac:dyDescent="0.25">
      <c r="I265" s="83">
        <v>250</v>
      </c>
      <c r="J265" s="255" t="str">
        <f>IF(I265&lt;=MAX(Forest_data[Age]),I265,"")</f>
        <v/>
      </c>
      <c r="K265" s="256" t="str">
        <f>IF(ISNUMBER(J265),LOOKUP(J265, Forest_data[[#All],[Age]],Forest_data[[#All],[Number of trees per ha]]),"")</f>
        <v/>
      </c>
      <c r="L265" s="257" t="str">
        <f>IF(ISNUMBER(J265),IF(ISNA(VLOOKUP(J265,Forest_data[#All],3,FALSE)),#N/A, VLOOKUP(J265,Forest_data[#All],3,FALSE)),"")</f>
        <v/>
      </c>
      <c r="M265" s="257" t="str">
        <f>IF(ISNUMBER(J265),IF(ISNA(VLOOKUP(J265,Forest_data[#All],4,FALSE)),#N/A, VLOOKUP(J265,Forest_data[#All],4,FALSE)),"")</f>
        <v/>
      </c>
      <c r="N265" s="257" t="str">
        <f>IF(ISNUMBER(J265),IF(ISNA(VLOOKUP(J265,Forest_data[#All],5,FALSE)),#N/A, VLOOKUP(J265,Forest_data[#All],5,FALSE)),"")</f>
        <v/>
      </c>
      <c r="O265" s="257" t="str">
        <f>IF(ISNUMBER(J265),IF(ISNA(VLOOKUP(J265,Forest_data[#All],6,FALSE)),#N/A, VLOOKUP(J265,Forest_data[#All],6,FALSE)),"")</f>
        <v/>
      </c>
      <c r="P265" s="257" t="str">
        <f t="shared" si="31"/>
        <v/>
      </c>
      <c r="Q265" s="257" t="str">
        <f t="shared" si="24"/>
        <v/>
      </c>
      <c r="R265" s="257" t="str">
        <f t="shared" si="29"/>
        <v/>
      </c>
      <c r="S265" s="283" t="str">
        <f t="shared" si="25"/>
        <v/>
      </c>
      <c r="T265" s="258" t="str">
        <f t="shared" si="26"/>
        <v/>
      </c>
      <c r="U265" s="257" t="str">
        <f t="shared" si="27"/>
        <v/>
      </c>
      <c r="V265" s="257" t="str">
        <f t="shared" si="30"/>
        <v/>
      </c>
      <c r="W265" s="283" t="str">
        <f t="shared" si="28"/>
        <v/>
      </c>
      <c r="X265" s="253"/>
      <c r="Y265" s="253"/>
      <c r="Z265" s="253"/>
      <c r="AA265" s="253"/>
      <c r="AB265" s="253"/>
      <c r="AC265" s="253"/>
      <c r="AD265" s="253"/>
      <c r="AE265" s="253"/>
      <c r="AF265" s="253"/>
      <c r="AG265" s="253"/>
      <c r="AH265" s="253"/>
      <c r="AI265" s="253"/>
      <c r="AJ265" s="253"/>
      <c r="AK265" s="253"/>
      <c r="AL265" s="253"/>
      <c r="AM265" s="253"/>
      <c r="AN265" s="253"/>
      <c r="AO265" s="253"/>
      <c r="AP265" s="253"/>
      <c r="AQ265" s="253"/>
      <c r="AR265" s="253"/>
      <c r="AS265" s="253"/>
      <c r="AT265" s="253"/>
      <c r="AU265" s="253"/>
    </row>
    <row r="266" spans="9:47" ht="19.5" customHeight="1" x14ac:dyDescent="0.25">
      <c r="I266" s="83">
        <v>251</v>
      </c>
      <c r="J266" s="255" t="str">
        <f>IF(I266&lt;=MAX(Forest_data[Age]),I266,"")</f>
        <v/>
      </c>
      <c r="K266" s="256" t="str">
        <f>IF(ISNUMBER(J266),LOOKUP(J266, Forest_data[[#All],[Age]],Forest_data[[#All],[Number of trees per ha]]),"")</f>
        <v/>
      </c>
      <c r="L266" s="257" t="str">
        <f>IF(ISNUMBER(J266),IF(ISNA(VLOOKUP(J266,Forest_data[#All],3,FALSE)),#N/A, VLOOKUP(J266,Forest_data[#All],3,FALSE)),"")</f>
        <v/>
      </c>
      <c r="M266" s="257" t="str">
        <f>IF(ISNUMBER(J266),IF(ISNA(VLOOKUP(J266,Forest_data[#All],4,FALSE)),#N/A, VLOOKUP(J266,Forest_data[#All],4,FALSE)),"")</f>
        <v/>
      </c>
      <c r="N266" s="257" t="str">
        <f>IF(ISNUMBER(J266),IF(ISNA(VLOOKUP(J266,Forest_data[#All],5,FALSE)),#N/A, VLOOKUP(J266,Forest_data[#All],5,FALSE)),"")</f>
        <v/>
      </c>
      <c r="O266" s="257" t="str">
        <f>IF(ISNUMBER(J266),IF(ISNA(VLOOKUP(J266,Forest_data[#All],6,FALSE)),#N/A, VLOOKUP(J266,Forest_data[#All],6,FALSE)),"")</f>
        <v/>
      </c>
      <c r="P266" s="257" t="str">
        <f t="shared" si="31"/>
        <v/>
      </c>
      <c r="Q266" s="257" t="str">
        <f t="shared" si="24"/>
        <v/>
      </c>
      <c r="R266" s="257" t="str">
        <f t="shared" si="29"/>
        <v/>
      </c>
      <c r="S266" s="283" t="str">
        <f t="shared" si="25"/>
        <v/>
      </c>
      <c r="T266" s="258" t="str">
        <f t="shared" si="26"/>
        <v/>
      </c>
      <c r="U266" s="257" t="str">
        <f t="shared" si="27"/>
        <v/>
      </c>
      <c r="V266" s="257" t="str">
        <f t="shared" si="30"/>
        <v/>
      </c>
      <c r="W266" s="283" t="str">
        <f t="shared" si="28"/>
        <v/>
      </c>
      <c r="X266" s="253"/>
      <c r="Y266" s="253"/>
      <c r="Z266" s="253"/>
      <c r="AA266" s="253"/>
      <c r="AB266" s="253"/>
      <c r="AC266" s="253"/>
      <c r="AD266" s="253"/>
      <c r="AE266" s="253"/>
      <c r="AF266" s="253"/>
      <c r="AG266" s="253"/>
      <c r="AH266" s="253"/>
      <c r="AI266" s="253"/>
      <c r="AJ266" s="253"/>
      <c r="AK266" s="253"/>
      <c r="AL266" s="253"/>
      <c r="AM266" s="253"/>
      <c r="AN266" s="253"/>
      <c r="AO266" s="253"/>
      <c r="AP266" s="253"/>
      <c r="AQ266" s="253"/>
      <c r="AR266" s="253"/>
      <c r="AS266" s="253"/>
      <c r="AT266" s="253"/>
      <c r="AU266" s="253"/>
    </row>
    <row r="267" spans="9:47" ht="19.5" customHeight="1" x14ac:dyDescent="0.25">
      <c r="I267" s="83">
        <v>252</v>
      </c>
      <c r="J267" s="255" t="str">
        <f>IF(I267&lt;=MAX(Forest_data[Age]),I267,"")</f>
        <v/>
      </c>
      <c r="K267" s="256" t="str">
        <f>IF(ISNUMBER(J267),LOOKUP(J267, Forest_data[[#All],[Age]],Forest_data[[#All],[Number of trees per ha]]),"")</f>
        <v/>
      </c>
      <c r="L267" s="257" t="str">
        <f>IF(ISNUMBER(J267),IF(ISNA(VLOOKUP(J267,Forest_data[#All],3,FALSE)),#N/A, VLOOKUP(J267,Forest_data[#All],3,FALSE)),"")</f>
        <v/>
      </c>
      <c r="M267" s="257" t="str">
        <f>IF(ISNUMBER(J267),IF(ISNA(VLOOKUP(J267,Forest_data[#All],4,FALSE)),#N/A, VLOOKUP(J267,Forest_data[#All],4,FALSE)),"")</f>
        <v/>
      </c>
      <c r="N267" s="257" t="str">
        <f>IF(ISNUMBER(J267),IF(ISNA(VLOOKUP(J267,Forest_data[#All],5,FALSE)),#N/A, VLOOKUP(J267,Forest_data[#All],5,FALSE)),"")</f>
        <v/>
      </c>
      <c r="O267" s="257" t="str">
        <f>IF(ISNUMBER(J267),IF(ISNA(VLOOKUP(J267,Forest_data[#All],6,FALSE)),#N/A, VLOOKUP(J267,Forest_data[#All],6,FALSE)),"")</f>
        <v/>
      </c>
      <c r="P267" s="257" t="str">
        <f t="shared" si="31"/>
        <v/>
      </c>
      <c r="Q267" s="257" t="str">
        <f t="shared" si="24"/>
        <v/>
      </c>
      <c r="R267" s="257" t="str">
        <f t="shared" si="29"/>
        <v/>
      </c>
      <c r="S267" s="283" t="str">
        <f t="shared" si="25"/>
        <v/>
      </c>
      <c r="T267" s="258" t="str">
        <f t="shared" si="26"/>
        <v/>
      </c>
      <c r="U267" s="257" t="str">
        <f t="shared" si="27"/>
        <v/>
      </c>
      <c r="V267" s="257" t="str">
        <f t="shared" si="30"/>
        <v/>
      </c>
      <c r="W267" s="283" t="str">
        <f t="shared" si="28"/>
        <v/>
      </c>
      <c r="X267" s="253"/>
      <c r="Y267" s="253"/>
      <c r="Z267" s="253"/>
      <c r="AA267" s="253"/>
      <c r="AB267" s="253"/>
      <c r="AC267" s="253"/>
      <c r="AD267" s="253"/>
      <c r="AE267" s="253"/>
      <c r="AF267" s="253"/>
      <c r="AG267" s="253"/>
      <c r="AH267" s="253"/>
      <c r="AI267" s="253"/>
      <c r="AJ267" s="253"/>
      <c r="AK267" s="253"/>
      <c r="AL267" s="253"/>
      <c r="AM267" s="253"/>
      <c r="AN267" s="253"/>
      <c r="AO267" s="253"/>
      <c r="AP267" s="253"/>
      <c r="AQ267" s="253"/>
      <c r="AR267" s="253"/>
      <c r="AS267" s="253"/>
      <c r="AT267" s="253"/>
      <c r="AU267" s="253"/>
    </row>
    <row r="268" spans="9:47" ht="19.5" customHeight="1" x14ac:dyDescent="0.25">
      <c r="I268" s="260">
        <v>253</v>
      </c>
      <c r="J268" s="255" t="str">
        <f>IF(I268&lt;=MAX(Forest_data[Age]),I268,"")</f>
        <v/>
      </c>
      <c r="K268" s="256" t="str">
        <f>IF(ISNUMBER(J268),LOOKUP(J268, Forest_data[[#All],[Age]],Forest_data[[#All],[Number of trees per ha]]),"")</f>
        <v/>
      </c>
      <c r="L268" s="257" t="str">
        <f>IF(ISNUMBER(J268),IF(ISNA(VLOOKUP(J268,Forest_data[#All],3,FALSE)),#N/A, VLOOKUP(J268,Forest_data[#All],3,FALSE)),"")</f>
        <v/>
      </c>
      <c r="M268" s="257" t="str">
        <f>IF(ISNUMBER(J268),IF(ISNA(VLOOKUP(J268,Forest_data[#All],4,FALSE)),#N/A, VLOOKUP(J268,Forest_data[#All],4,FALSE)),"")</f>
        <v/>
      </c>
      <c r="N268" s="257" t="str">
        <f>IF(ISNUMBER(J268),IF(ISNA(VLOOKUP(J268,Forest_data[#All],5,FALSE)),#N/A, VLOOKUP(J268,Forest_data[#All],5,FALSE)),"")</f>
        <v/>
      </c>
      <c r="O268" s="257" t="str">
        <f>IF(ISNUMBER(J268),IF(ISNA(VLOOKUP(J268,Forest_data[#All],6,FALSE)),#N/A, VLOOKUP(J268,Forest_data[#All],6,FALSE)),"")</f>
        <v/>
      </c>
      <c r="P268" s="257" t="str">
        <f t="shared" si="31"/>
        <v/>
      </c>
      <c r="Q268" s="257" t="str">
        <f t="shared" si="24"/>
        <v/>
      </c>
      <c r="R268" s="257" t="str">
        <f t="shared" si="29"/>
        <v/>
      </c>
      <c r="S268" s="283" t="str">
        <f t="shared" si="25"/>
        <v/>
      </c>
      <c r="T268" s="258" t="str">
        <f t="shared" si="26"/>
        <v/>
      </c>
      <c r="U268" s="257" t="str">
        <f t="shared" si="27"/>
        <v/>
      </c>
      <c r="V268" s="257" t="str">
        <f t="shared" si="30"/>
        <v/>
      </c>
      <c r="W268" s="283" t="str">
        <f t="shared" si="28"/>
        <v/>
      </c>
      <c r="X268" s="253"/>
      <c r="Y268" s="253"/>
      <c r="Z268" s="253"/>
      <c r="AA268" s="253"/>
      <c r="AB268" s="253"/>
      <c r="AC268" s="253"/>
      <c r="AD268" s="253"/>
      <c r="AE268" s="253"/>
      <c r="AF268" s="253"/>
      <c r="AG268" s="253"/>
      <c r="AH268" s="253"/>
      <c r="AI268" s="253"/>
      <c r="AJ268" s="253"/>
      <c r="AK268" s="253"/>
      <c r="AL268" s="253"/>
      <c r="AM268" s="253"/>
      <c r="AN268" s="253"/>
      <c r="AO268" s="253"/>
      <c r="AP268" s="253"/>
      <c r="AQ268" s="253"/>
      <c r="AR268" s="253"/>
      <c r="AS268" s="253"/>
      <c r="AT268" s="253"/>
      <c r="AU268" s="253"/>
    </row>
    <row r="269" spans="9:47" ht="19.5" customHeight="1" x14ac:dyDescent="0.25">
      <c r="I269" s="83">
        <v>254</v>
      </c>
      <c r="J269" s="255" t="str">
        <f>IF(I269&lt;=MAX(Forest_data[Age]),I269,"")</f>
        <v/>
      </c>
      <c r="K269" s="256" t="str">
        <f>IF(ISNUMBER(J269),LOOKUP(J269, Forest_data[[#All],[Age]],Forest_data[[#All],[Number of trees per ha]]),"")</f>
        <v/>
      </c>
      <c r="L269" s="257" t="str">
        <f>IF(ISNUMBER(J269),IF(ISNA(VLOOKUP(J269,Forest_data[#All],3,FALSE)),#N/A, VLOOKUP(J269,Forest_data[#All],3,FALSE)),"")</f>
        <v/>
      </c>
      <c r="M269" s="257" t="str">
        <f>IF(ISNUMBER(J269),IF(ISNA(VLOOKUP(J269,Forest_data[#All],4,FALSE)),#N/A, VLOOKUP(J269,Forest_data[#All],4,FALSE)),"")</f>
        <v/>
      </c>
      <c r="N269" s="257" t="str">
        <f>IF(ISNUMBER(J269),IF(ISNA(VLOOKUP(J269,Forest_data[#All],5,FALSE)),#N/A, VLOOKUP(J269,Forest_data[#All],5,FALSE)),"")</f>
        <v/>
      </c>
      <c r="O269" s="257" t="str">
        <f>IF(ISNUMBER(J269),IF(ISNA(VLOOKUP(J269,Forest_data[#All],6,FALSE)),#N/A, VLOOKUP(J269,Forest_data[#All],6,FALSE)),"")</f>
        <v/>
      </c>
      <c r="P269" s="257" t="str">
        <f t="shared" si="31"/>
        <v/>
      </c>
      <c r="Q269" s="257" t="str">
        <f t="shared" si="24"/>
        <v/>
      </c>
      <c r="R269" s="257" t="str">
        <f t="shared" si="29"/>
        <v/>
      </c>
      <c r="S269" s="283" t="str">
        <f t="shared" si="25"/>
        <v/>
      </c>
      <c r="T269" s="258" t="str">
        <f t="shared" si="26"/>
        <v/>
      </c>
      <c r="U269" s="257" t="str">
        <f t="shared" si="27"/>
        <v/>
      </c>
      <c r="V269" s="257" t="str">
        <f t="shared" si="30"/>
        <v/>
      </c>
      <c r="W269" s="283" t="str">
        <f t="shared" si="28"/>
        <v/>
      </c>
      <c r="X269" s="253"/>
      <c r="Y269" s="253"/>
      <c r="Z269" s="253"/>
      <c r="AA269" s="253"/>
      <c r="AB269" s="253"/>
      <c r="AC269" s="253"/>
      <c r="AD269" s="253"/>
      <c r="AE269" s="253"/>
      <c r="AF269" s="253"/>
      <c r="AG269" s="253"/>
      <c r="AH269" s="253"/>
      <c r="AI269" s="253"/>
      <c r="AJ269" s="253"/>
      <c r="AK269" s="253"/>
      <c r="AL269" s="253"/>
      <c r="AM269" s="253"/>
      <c r="AN269" s="253"/>
      <c r="AO269" s="253"/>
      <c r="AP269" s="253"/>
      <c r="AQ269" s="253"/>
      <c r="AR269" s="253"/>
      <c r="AS269" s="253"/>
      <c r="AT269" s="253"/>
      <c r="AU269" s="253"/>
    </row>
    <row r="270" spans="9:47" ht="19.5" customHeight="1" x14ac:dyDescent="0.25">
      <c r="I270" s="83">
        <v>255</v>
      </c>
      <c r="J270" s="255" t="str">
        <f>IF(I270&lt;=MAX(Forest_data[Age]),I270,"")</f>
        <v/>
      </c>
      <c r="K270" s="256" t="str">
        <f>IF(ISNUMBER(J270),LOOKUP(J270, Forest_data[[#All],[Age]],Forest_data[[#All],[Number of trees per ha]]),"")</f>
        <v/>
      </c>
      <c r="L270" s="257" t="str">
        <f>IF(ISNUMBER(J270),IF(ISNA(VLOOKUP(J270,Forest_data[#All],3,FALSE)),#N/A, VLOOKUP(J270,Forest_data[#All],3,FALSE)),"")</f>
        <v/>
      </c>
      <c r="M270" s="257" t="str">
        <f>IF(ISNUMBER(J270),IF(ISNA(VLOOKUP(J270,Forest_data[#All],4,FALSE)),#N/A, VLOOKUP(J270,Forest_data[#All],4,FALSE)),"")</f>
        <v/>
      </c>
      <c r="N270" s="257" t="str">
        <f>IF(ISNUMBER(J270),IF(ISNA(VLOOKUP(J270,Forest_data[#All],5,FALSE)),#N/A, VLOOKUP(J270,Forest_data[#All],5,FALSE)),"")</f>
        <v/>
      </c>
      <c r="O270" s="257" t="str">
        <f>IF(ISNUMBER(J270),IF(ISNA(VLOOKUP(J270,Forest_data[#All],6,FALSE)),#N/A, VLOOKUP(J270,Forest_data[#All],6,FALSE)),"")</f>
        <v/>
      </c>
      <c r="P270" s="257" t="str">
        <f t="shared" si="31"/>
        <v/>
      </c>
      <c r="Q270" s="257" t="str">
        <f t="shared" si="24"/>
        <v/>
      </c>
      <c r="R270" s="257" t="str">
        <f t="shared" si="29"/>
        <v/>
      </c>
      <c r="S270" s="283" t="str">
        <f t="shared" si="25"/>
        <v/>
      </c>
      <c r="T270" s="258" t="str">
        <f t="shared" si="26"/>
        <v/>
      </c>
      <c r="U270" s="257" t="str">
        <f t="shared" si="27"/>
        <v/>
      </c>
      <c r="V270" s="257" t="str">
        <f t="shared" si="30"/>
        <v/>
      </c>
      <c r="W270" s="283" t="str">
        <f t="shared" si="28"/>
        <v/>
      </c>
      <c r="X270" s="253"/>
      <c r="Y270" s="253"/>
      <c r="Z270" s="253"/>
      <c r="AA270" s="253"/>
      <c r="AB270" s="253"/>
      <c r="AC270" s="253"/>
      <c r="AD270" s="253"/>
      <c r="AE270" s="253"/>
      <c r="AF270" s="253"/>
      <c r="AG270" s="253"/>
      <c r="AH270" s="253"/>
      <c r="AI270" s="253"/>
      <c r="AJ270" s="253"/>
      <c r="AK270" s="253"/>
      <c r="AL270" s="253"/>
      <c r="AM270" s="253"/>
      <c r="AN270" s="253"/>
      <c r="AO270" s="253"/>
      <c r="AP270" s="253"/>
      <c r="AQ270" s="253"/>
      <c r="AR270" s="253"/>
      <c r="AS270" s="253"/>
      <c r="AT270" s="253"/>
      <c r="AU270" s="253"/>
    </row>
    <row r="271" spans="9:47" ht="19.5" customHeight="1" x14ac:dyDescent="0.25">
      <c r="I271" s="83">
        <v>256</v>
      </c>
      <c r="J271" s="255" t="str">
        <f>IF(I271&lt;=MAX(Forest_data[Age]),I271,"")</f>
        <v/>
      </c>
      <c r="K271" s="256" t="str">
        <f>IF(ISNUMBER(J271),LOOKUP(J271, Forest_data[[#All],[Age]],Forest_data[[#All],[Number of trees per ha]]),"")</f>
        <v/>
      </c>
      <c r="L271" s="257" t="str">
        <f>IF(ISNUMBER(J271),IF(ISNA(VLOOKUP(J271,Forest_data[#All],3,FALSE)),#N/A, VLOOKUP(J271,Forest_data[#All],3,FALSE)),"")</f>
        <v/>
      </c>
      <c r="M271" s="257" t="str">
        <f>IF(ISNUMBER(J271),IF(ISNA(VLOOKUP(J271,Forest_data[#All],4,FALSE)),#N/A, VLOOKUP(J271,Forest_data[#All],4,FALSE)),"")</f>
        <v/>
      </c>
      <c r="N271" s="257" t="str">
        <f>IF(ISNUMBER(J271),IF(ISNA(VLOOKUP(J271,Forest_data[#All],5,FALSE)),#N/A, VLOOKUP(J271,Forest_data[#All],5,FALSE)),"")</f>
        <v/>
      </c>
      <c r="O271" s="257" t="str">
        <f>IF(ISNUMBER(J271),IF(ISNA(VLOOKUP(J271,Forest_data[#All],6,FALSE)),#N/A, VLOOKUP(J271,Forest_data[#All],6,FALSE)),"")</f>
        <v/>
      </c>
      <c r="P271" s="257" t="str">
        <f t="shared" si="31"/>
        <v/>
      </c>
      <c r="Q271" s="257" t="str">
        <f t="shared" si="24"/>
        <v/>
      </c>
      <c r="R271" s="257" t="str">
        <f t="shared" si="29"/>
        <v/>
      </c>
      <c r="S271" s="283" t="str">
        <f t="shared" si="25"/>
        <v/>
      </c>
      <c r="T271" s="258" t="str">
        <f t="shared" si="26"/>
        <v/>
      </c>
      <c r="U271" s="257" t="str">
        <f t="shared" si="27"/>
        <v/>
      </c>
      <c r="V271" s="257" t="str">
        <f t="shared" si="30"/>
        <v/>
      </c>
      <c r="W271" s="283" t="str">
        <f t="shared" si="28"/>
        <v/>
      </c>
      <c r="X271" s="253"/>
      <c r="Y271" s="253"/>
      <c r="Z271" s="253"/>
      <c r="AA271" s="253"/>
      <c r="AB271" s="253"/>
      <c r="AC271" s="253"/>
      <c r="AD271" s="253"/>
      <c r="AE271" s="253"/>
      <c r="AF271" s="253"/>
      <c r="AG271" s="253"/>
      <c r="AH271" s="253"/>
      <c r="AI271" s="253"/>
      <c r="AJ271" s="253"/>
      <c r="AK271" s="253"/>
      <c r="AL271" s="253"/>
      <c r="AM271" s="253"/>
      <c r="AN271" s="253"/>
      <c r="AO271" s="253"/>
      <c r="AP271" s="253"/>
      <c r="AQ271" s="253"/>
      <c r="AR271" s="253"/>
      <c r="AS271" s="253"/>
      <c r="AT271" s="253"/>
      <c r="AU271" s="253"/>
    </row>
    <row r="272" spans="9:47" ht="19.5" customHeight="1" x14ac:dyDescent="0.25">
      <c r="I272" s="260">
        <v>257</v>
      </c>
      <c r="J272" s="255" t="str">
        <f>IF(I272&lt;=MAX(Forest_data[Age]),I272,"")</f>
        <v/>
      </c>
      <c r="K272" s="256" t="str">
        <f>IF(ISNUMBER(J272),LOOKUP(J272, Forest_data[[#All],[Age]],Forest_data[[#All],[Number of trees per ha]]),"")</f>
        <v/>
      </c>
      <c r="L272" s="257" t="str">
        <f>IF(ISNUMBER(J272),IF(ISNA(VLOOKUP(J272,Forest_data[#All],3,FALSE)),#N/A, VLOOKUP(J272,Forest_data[#All],3,FALSE)),"")</f>
        <v/>
      </c>
      <c r="M272" s="257" t="str">
        <f>IF(ISNUMBER(J272),IF(ISNA(VLOOKUP(J272,Forest_data[#All],4,FALSE)),#N/A, VLOOKUP(J272,Forest_data[#All],4,FALSE)),"")</f>
        <v/>
      </c>
      <c r="N272" s="257" t="str">
        <f>IF(ISNUMBER(J272),IF(ISNA(VLOOKUP(J272,Forest_data[#All],5,FALSE)),#N/A, VLOOKUP(J272,Forest_data[#All],5,FALSE)),"")</f>
        <v/>
      </c>
      <c r="O272" s="257" t="str">
        <f>IF(ISNUMBER(J272),IF(ISNA(VLOOKUP(J272,Forest_data[#All],6,FALSE)),#N/A, VLOOKUP(J272,Forest_data[#All],6,FALSE)),"")</f>
        <v/>
      </c>
      <c r="P272" s="257" t="str">
        <f t="shared" si="31"/>
        <v/>
      </c>
      <c r="Q272" s="257" t="str">
        <f t="shared" ref="Q272:Q315" si="32">IF(ISNUMBER(J272),IF($B$85*POWER(J272,2)+$C$85*J272+$D$85&lt;0,M272,$B$85*POWER(J272,2)+$C$85*J272+$D$85),"")</f>
        <v/>
      </c>
      <c r="R272" s="257" t="str">
        <f t="shared" si="29"/>
        <v/>
      </c>
      <c r="S272" s="283" t="str">
        <f t="shared" ref="S272:S315" si="33">IF(ISNUMBER(J272),IF($B$91*POWER(J272,2)+$C$91*J272+$D$91&lt;0,O272,$B$91*POWER(J272,2)+$C$91*J272+$D$91),"")</f>
        <v/>
      </c>
      <c r="T272" s="258" t="str">
        <f t="shared" ref="T272:T315" si="34">IF(ISNUMBER(J272),IF(+$B$83*POWER(J272,3)+$C$83*POWER(J272,2)+$D$83*POWER(J272,1)+$E$83&lt;0,L272,+$B$83*POWER(J272,3)+$C$83*POWER(J272,2)+$D$83*POWER(J272,1)+$E$83),"")</f>
        <v/>
      </c>
      <c r="U272" s="257" t="str">
        <f t="shared" ref="U272:U315" si="35">IF(ISNUMBER(J272),IF(+$B$86*POWER(J272,3)+$C$86*POWER(J272,2)+$D$86*POWER(J272,1)+$E$86&lt;0,M272,+$B$86*POWER(J272,3)+$C$86*POWER(J272,2)+$D$86*POWER(J272,1)+$E$86),"")</f>
        <v/>
      </c>
      <c r="V272" s="257" t="str">
        <f t="shared" si="30"/>
        <v/>
      </c>
      <c r="W272" s="283" t="str">
        <f t="shared" ref="W272:W315" si="36">IF(ISNUMBER(J272),IF(+$B$92*POWER(J272,3)+$C$92*POWER(J272,2)+$D$92*POWER(J272,1)+$E$92&lt;0,O272,+$B$92*POWER(J272,3)+$C$92*POWER(J272,2)+$D$92*POWER(J272,1)+$E$92),"")</f>
        <v/>
      </c>
      <c r="X272" s="253"/>
      <c r="Y272" s="253"/>
      <c r="Z272" s="253"/>
      <c r="AA272" s="253"/>
      <c r="AB272" s="253"/>
      <c r="AC272" s="253"/>
      <c r="AD272" s="253"/>
      <c r="AE272" s="253"/>
      <c r="AF272" s="253"/>
      <c r="AG272" s="253"/>
      <c r="AH272" s="253"/>
      <c r="AI272" s="253"/>
      <c r="AJ272" s="253"/>
      <c r="AK272" s="253"/>
      <c r="AL272" s="253"/>
      <c r="AM272" s="253"/>
      <c r="AN272" s="253"/>
      <c r="AO272" s="253"/>
      <c r="AP272" s="253"/>
      <c r="AQ272" s="253"/>
      <c r="AR272" s="253"/>
      <c r="AS272" s="253"/>
      <c r="AT272" s="253"/>
      <c r="AU272" s="253"/>
    </row>
    <row r="273" spans="9:47" ht="19.5" customHeight="1" x14ac:dyDescent="0.25">
      <c r="I273" s="83">
        <v>258</v>
      </c>
      <c r="J273" s="255" t="str">
        <f>IF(I273&lt;=MAX(Forest_data[Age]),I273,"")</f>
        <v/>
      </c>
      <c r="K273" s="256" t="str">
        <f>IF(ISNUMBER(J273),LOOKUP(J273, Forest_data[[#All],[Age]],Forest_data[[#All],[Number of trees per ha]]),"")</f>
        <v/>
      </c>
      <c r="L273" s="257" t="str">
        <f>IF(ISNUMBER(J273),IF(ISNA(VLOOKUP(J273,Forest_data[#All],3,FALSE)),#N/A, VLOOKUP(J273,Forest_data[#All],3,FALSE)),"")</f>
        <v/>
      </c>
      <c r="M273" s="257" t="str">
        <f>IF(ISNUMBER(J273),IF(ISNA(VLOOKUP(J273,Forest_data[#All],4,FALSE)),#N/A, VLOOKUP(J273,Forest_data[#All],4,FALSE)),"")</f>
        <v/>
      </c>
      <c r="N273" s="257" t="str">
        <f>IF(ISNUMBER(J273),IF(ISNA(VLOOKUP(J273,Forest_data[#All],5,FALSE)),#N/A, VLOOKUP(J273,Forest_data[#All],5,FALSE)),"")</f>
        <v/>
      </c>
      <c r="O273" s="257" t="str">
        <f>IF(ISNUMBER(J273),IF(ISNA(VLOOKUP(J273,Forest_data[#All],6,FALSE)),#N/A, VLOOKUP(J273,Forest_data[#All],6,FALSE)),"")</f>
        <v/>
      </c>
      <c r="P273" s="257" t="str">
        <f t="shared" si="31"/>
        <v/>
      </c>
      <c r="Q273" s="257" t="str">
        <f t="shared" si="32"/>
        <v/>
      </c>
      <c r="R273" s="257" t="str">
        <f t="shared" ref="R273:R315" si="37">IF(ISNUMBER(J273),IF($B$88*POWER(J273,2)+$C$88*J273+$D$88&lt;0,M273,$B$88*POWER(J273,2)+$C$88*J273+$D$88),"")</f>
        <v/>
      </c>
      <c r="S273" s="283" t="str">
        <f t="shared" si="33"/>
        <v/>
      </c>
      <c r="T273" s="258" t="str">
        <f t="shared" si="34"/>
        <v/>
      </c>
      <c r="U273" s="257" t="str">
        <f t="shared" si="35"/>
        <v/>
      </c>
      <c r="V273" s="257" t="str">
        <f t="shared" ref="V273:V315" si="38">IF(ISNUMBER(J273),IF(+$B$89*POWER(J273,3)+$C$89*POWER(J273,2)+$D$89*POWER(J273,1)+$E$89&lt;0,M273,+$B$89*POWER(J273,3)+$C$89*POWER(J273,2)+$D$89*POWER(J273,1)+$E$89),"")</f>
        <v/>
      </c>
      <c r="W273" s="283" t="str">
        <f t="shared" si="36"/>
        <v/>
      </c>
      <c r="X273" s="253"/>
      <c r="Y273" s="253"/>
      <c r="Z273" s="253"/>
      <c r="AA273" s="253"/>
      <c r="AB273" s="253"/>
      <c r="AC273" s="253"/>
      <c r="AD273" s="253"/>
      <c r="AE273" s="253"/>
      <c r="AF273" s="253"/>
      <c r="AG273" s="253"/>
      <c r="AH273" s="253"/>
      <c r="AI273" s="253"/>
      <c r="AJ273" s="253"/>
      <c r="AK273" s="253"/>
      <c r="AL273" s="253"/>
      <c r="AM273" s="253"/>
      <c r="AN273" s="253"/>
      <c r="AO273" s="253"/>
      <c r="AP273" s="253"/>
      <c r="AQ273" s="253"/>
      <c r="AR273" s="253"/>
      <c r="AS273" s="253"/>
      <c r="AT273" s="253"/>
      <c r="AU273" s="253"/>
    </row>
    <row r="274" spans="9:47" ht="19.5" customHeight="1" x14ac:dyDescent="0.25">
      <c r="I274" s="83">
        <v>259</v>
      </c>
      <c r="J274" s="255" t="str">
        <f>IF(I274&lt;=MAX(Forest_data[Age]),I274,"")</f>
        <v/>
      </c>
      <c r="K274" s="256" t="str">
        <f>IF(ISNUMBER(J274),LOOKUP(J274, Forest_data[[#All],[Age]],Forest_data[[#All],[Number of trees per ha]]),"")</f>
        <v/>
      </c>
      <c r="L274" s="257" t="str">
        <f>IF(ISNUMBER(J274),IF(ISNA(VLOOKUP(J274,Forest_data[#All],3,FALSE)),#N/A, VLOOKUP(J274,Forest_data[#All],3,FALSE)),"")</f>
        <v/>
      </c>
      <c r="M274" s="257" t="str">
        <f>IF(ISNUMBER(J274),IF(ISNA(VLOOKUP(J274,Forest_data[#All],4,FALSE)),#N/A, VLOOKUP(J274,Forest_data[#All],4,FALSE)),"")</f>
        <v/>
      </c>
      <c r="N274" s="257" t="str">
        <f>IF(ISNUMBER(J274),IF(ISNA(VLOOKUP(J274,Forest_data[#All],5,FALSE)),#N/A, VLOOKUP(J274,Forest_data[#All],5,FALSE)),"")</f>
        <v/>
      </c>
      <c r="O274" s="257" t="str">
        <f>IF(ISNUMBER(J274),IF(ISNA(VLOOKUP(J274,Forest_data[#All],6,FALSE)),#N/A, VLOOKUP(J274,Forest_data[#All],6,FALSE)),"")</f>
        <v/>
      </c>
      <c r="P274" s="257" t="str">
        <f t="shared" ref="P274:P315" si="39">IF(ISNUMBER(J274),IF($B$82*POWER(J274,2)+$C$82*J274+$D$82&lt;0,L274,$B$82*POWER(J274,2)+$C$82*J274+$D$82),"")</f>
        <v/>
      </c>
      <c r="Q274" s="257" t="str">
        <f t="shared" si="32"/>
        <v/>
      </c>
      <c r="R274" s="257" t="str">
        <f t="shared" si="37"/>
        <v/>
      </c>
      <c r="S274" s="283" t="str">
        <f t="shared" si="33"/>
        <v/>
      </c>
      <c r="T274" s="258" t="str">
        <f t="shared" si="34"/>
        <v/>
      </c>
      <c r="U274" s="257" t="str">
        <f t="shared" si="35"/>
        <v/>
      </c>
      <c r="V274" s="257" t="str">
        <f t="shared" si="38"/>
        <v/>
      </c>
      <c r="W274" s="283" t="str">
        <f t="shared" si="36"/>
        <v/>
      </c>
      <c r="X274" s="253"/>
      <c r="Y274" s="253"/>
      <c r="Z274" s="253"/>
      <c r="AA274" s="253"/>
      <c r="AB274" s="253"/>
      <c r="AC274" s="253"/>
      <c r="AD274" s="253"/>
      <c r="AE274" s="253"/>
      <c r="AF274" s="253"/>
      <c r="AG274" s="253"/>
      <c r="AH274" s="253"/>
      <c r="AI274" s="253"/>
      <c r="AJ274" s="253"/>
      <c r="AK274" s="253"/>
      <c r="AL274" s="253"/>
      <c r="AM274" s="253"/>
      <c r="AN274" s="253"/>
      <c r="AO274" s="253"/>
      <c r="AP274" s="253"/>
      <c r="AQ274" s="253"/>
      <c r="AR274" s="253"/>
      <c r="AS274" s="253"/>
      <c r="AT274" s="253"/>
      <c r="AU274" s="253"/>
    </row>
    <row r="275" spans="9:47" ht="19.5" customHeight="1" x14ac:dyDescent="0.25">
      <c r="I275" s="83">
        <v>260</v>
      </c>
      <c r="J275" s="255" t="str">
        <f>IF(I275&lt;=MAX(Forest_data[Age]),I275,"")</f>
        <v/>
      </c>
      <c r="K275" s="256" t="str">
        <f>IF(ISNUMBER(J275),LOOKUP(J275, Forest_data[[#All],[Age]],Forest_data[[#All],[Number of trees per ha]]),"")</f>
        <v/>
      </c>
      <c r="L275" s="257" t="str">
        <f>IF(ISNUMBER(J275),IF(ISNA(VLOOKUP(J275,Forest_data[#All],3,FALSE)),#N/A, VLOOKUP(J275,Forest_data[#All],3,FALSE)),"")</f>
        <v/>
      </c>
      <c r="M275" s="257" t="str">
        <f>IF(ISNUMBER(J275),IF(ISNA(VLOOKUP(J275,Forest_data[#All],4,FALSE)),#N/A, VLOOKUP(J275,Forest_data[#All],4,FALSE)),"")</f>
        <v/>
      </c>
      <c r="N275" s="257" t="str">
        <f>IF(ISNUMBER(J275),IF(ISNA(VLOOKUP(J275,Forest_data[#All],5,FALSE)),#N/A, VLOOKUP(J275,Forest_data[#All],5,FALSE)),"")</f>
        <v/>
      </c>
      <c r="O275" s="257" t="str">
        <f>IF(ISNUMBER(J275),IF(ISNA(VLOOKUP(J275,Forest_data[#All],6,FALSE)),#N/A, VLOOKUP(J275,Forest_data[#All],6,FALSE)),"")</f>
        <v/>
      </c>
      <c r="P275" s="257" t="str">
        <f t="shared" si="39"/>
        <v/>
      </c>
      <c r="Q275" s="257" t="str">
        <f t="shared" si="32"/>
        <v/>
      </c>
      <c r="R275" s="257" t="str">
        <f t="shared" si="37"/>
        <v/>
      </c>
      <c r="S275" s="283" t="str">
        <f t="shared" si="33"/>
        <v/>
      </c>
      <c r="T275" s="258" t="str">
        <f t="shared" si="34"/>
        <v/>
      </c>
      <c r="U275" s="257" t="str">
        <f t="shared" si="35"/>
        <v/>
      </c>
      <c r="V275" s="257" t="str">
        <f t="shared" si="38"/>
        <v/>
      </c>
      <c r="W275" s="283" t="str">
        <f t="shared" si="36"/>
        <v/>
      </c>
      <c r="X275" s="253"/>
      <c r="Y275" s="253"/>
      <c r="Z275" s="253"/>
      <c r="AA275" s="253"/>
      <c r="AB275" s="253"/>
      <c r="AC275" s="253"/>
      <c r="AD275" s="253"/>
      <c r="AE275" s="253"/>
      <c r="AF275" s="253"/>
      <c r="AG275" s="253"/>
      <c r="AH275" s="253"/>
      <c r="AI275" s="253"/>
      <c r="AJ275" s="253"/>
      <c r="AK275" s="253"/>
      <c r="AL275" s="253"/>
      <c r="AM275" s="253"/>
      <c r="AN275" s="253"/>
      <c r="AO275" s="253"/>
      <c r="AP275" s="253"/>
      <c r="AQ275" s="253"/>
      <c r="AR275" s="253"/>
      <c r="AS275" s="253"/>
      <c r="AT275" s="253"/>
      <c r="AU275" s="253"/>
    </row>
    <row r="276" spans="9:47" ht="19.5" customHeight="1" x14ac:dyDescent="0.25">
      <c r="I276" s="260">
        <v>261</v>
      </c>
      <c r="J276" s="255" t="str">
        <f>IF(I276&lt;=MAX(Forest_data[Age]),I276,"")</f>
        <v/>
      </c>
      <c r="K276" s="256" t="str">
        <f>IF(ISNUMBER(J276),LOOKUP(J276, Forest_data[[#All],[Age]],Forest_data[[#All],[Number of trees per ha]]),"")</f>
        <v/>
      </c>
      <c r="L276" s="257" t="str">
        <f>IF(ISNUMBER(J276),IF(ISNA(VLOOKUP(J276,Forest_data[#All],3,FALSE)),#N/A, VLOOKUP(J276,Forest_data[#All],3,FALSE)),"")</f>
        <v/>
      </c>
      <c r="M276" s="257" t="str">
        <f>IF(ISNUMBER(J276),IF(ISNA(VLOOKUP(J276,Forest_data[#All],4,FALSE)),#N/A, VLOOKUP(J276,Forest_data[#All],4,FALSE)),"")</f>
        <v/>
      </c>
      <c r="N276" s="257" t="str">
        <f>IF(ISNUMBER(J276),IF(ISNA(VLOOKUP(J276,Forest_data[#All],5,FALSE)),#N/A, VLOOKUP(J276,Forest_data[#All],5,FALSE)),"")</f>
        <v/>
      </c>
      <c r="O276" s="257" t="str">
        <f>IF(ISNUMBER(J276),IF(ISNA(VLOOKUP(J276,Forest_data[#All],6,FALSE)),#N/A, VLOOKUP(J276,Forest_data[#All],6,FALSE)),"")</f>
        <v/>
      </c>
      <c r="P276" s="257" t="str">
        <f t="shared" si="39"/>
        <v/>
      </c>
      <c r="Q276" s="257" t="str">
        <f t="shared" si="32"/>
        <v/>
      </c>
      <c r="R276" s="257" t="str">
        <f t="shared" si="37"/>
        <v/>
      </c>
      <c r="S276" s="283" t="str">
        <f t="shared" si="33"/>
        <v/>
      </c>
      <c r="T276" s="258" t="str">
        <f t="shared" si="34"/>
        <v/>
      </c>
      <c r="U276" s="257" t="str">
        <f t="shared" si="35"/>
        <v/>
      </c>
      <c r="V276" s="257" t="str">
        <f t="shared" si="38"/>
        <v/>
      </c>
      <c r="W276" s="283" t="str">
        <f t="shared" si="36"/>
        <v/>
      </c>
      <c r="X276" s="253"/>
      <c r="Y276" s="253"/>
      <c r="Z276" s="253"/>
      <c r="AA276" s="253"/>
      <c r="AB276" s="253"/>
      <c r="AC276" s="253"/>
      <c r="AD276" s="253"/>
      <c r="AE276" s="253"/>
      <c r="AF276" s="253"/>
      <c r="AG276" s="253"/>
      <c r="AH276" s="253"/>
      <c r="AI276" s="253"/>
      <c r="AJ276" s="253"/>
      <c r="AK276" s="253"/>
      <c r="AL276" s="253"/>
      <c r="AM276" s="253"/>
      <c r="AN276" s="253"/>
      <c r="AO276" s="253"/>
      <c r="AP276" s="253"/>
      <c r="AQ276" s="253"/>
      <c r="AR276" s="253"/>
      <c r="AS276" s="253"/>
      <c r="AT276" s="253"/>
      <c r="AU276" s="253"/>
    </row>
    <row r="277" spans="9:47" ht="19.5" customHeight="1" x14ac:dyDescent="0.25">
      <c r="I277" s="83">
        <v>262</v>
      </c>
      <c r="J277" s="255" t="str">
        <f>IF(I277&lt;=MAX(Forest_data[Age]),I277,"")</f>
        <v/>
      </c>
      <c r="K277" s="256" t="str">
        <f>IF(ISNUMBER(J277),LOOKUP(J277, Forest_data[[#All],[Age]],Forest_data[[#All],[Number of trees per ha]]),"")</f>
        <v/>
      </c>
      <c r="L277" s="257" t="str">
        <f>IF(ISNUMBER(J277),IF(ISNA(VLOOKUP(J277,Forest_data[#All],3,FALSE)),#N/A, VLOOKUP(J277,Forest_data[#All],3,FALSE)),"")</f>
        <v/>
      </c>
      <c r="M277" s="257" t="str">
        <f>IF(ISNUMBER(J277),IF(ISNA(VLOOKUP(J277,Forest_data[#All],4,FALSE)),#N/A, VLOOKUP(J277,Forest_data[#All],4,FALSE)),"")</f>
        <v/>
      </c>
      <c r="N277" s="257" t="str">
        <f>IF(ISNUMBER(J277),IF(ISNA(VLOOKUP(J277,Forest_data[#All],5,FALSE)),#N/A, VLOOKUP(J277,Forest_data[#All],5,FALSE)),"")</f>
        <v/>
      </c>
      <c r="O277" s="257" t="str">
        <f>IF(ISNUMBER(J277),IF(ISNA(VLOOKUP(J277,Forest_data[#All],6,FALSE)),#N/A, VLOOKUP(J277,Forest_data[#All],6,FALSE)),"")</f>
        <v/>
      </c>
      <c r="P277" s="257" t="str">
        <f t="shared" si="39"/>
        <v/>
      </c>
      <c r="Q277" s="257" t="str">
        <f t="shared" si="32"/>
        <v/>
      </c>
      <c r="R277" s="257" t="str">
        <f t="shared" si="37"/>
        <v/>
      </c>
      <c r="S277" s="283" t="str">
        <f t="shared" si="33"/>
        <v/>
      </c>
      <c r="T277" s="258" t="str">
        <f t="shared" si="34"/>
        <v/>
      </c>
      <c r="U277" s="257" t="str">
        <f t="shared" si="35"/>
        <v/>
      </c>
      <c r="V277" s="257" t="str">
        <f t="shared" si="38"/>
        <v/>
      </c>
      <c r="W277" s="283" t="str">
        <f t="shared" si="36"/>
        <v/>
      </c>
      <c r="X277" s="253"/>
      <c r="Y277" s="253"/>
      <c r="Z277" s="253"/>
      <c r="AA277" s="253"/>
      <c r="AB277" s="253"/>
      <c r="AC277" s="253"/>
      <c r="AD277" s="253"/>
      <c r="AE277" s="253"/>
      <c r="AF277" s="253"/>
      <c r="AG277" s="253"/>
      <c r="AH277" s="253"/>
      <c r="AI277" s="253"/>
      <c r="AJ277" s="253"/>
      <c r="AK277" s="253"/>
      <c r="AL277" s="253"/>
      <c r="AM277" s="253"/>
      <c r="AN277" s="253"/>
      <c r="AO277" s="253"/>
      <c r="AP277" s="253"/>
      <c r="AQ277" s="253"/>
      <c r="AR277" s="253"/>
      <c r="AS277" s="253"/>
      <c r="AT277" s="253"/>
      <c r="AU277" s="253"/>
    </row>
    <row r="278" spans="9:47" ht="19.5" customHeight="1" x14ac:dyDescent="0.25">
      <c r="I278" s="83">
        <v>263</v>
      </c>
      <c r="J278" s="255" t="str">
        <f>IF(I278&lt;=MAX(Forest_data[Age]),I278,"")</f>
        <v/>
      </c>
      <c r="K278" s="256" t="str">
        <f>IF(ISNUMBER(J278),LOOKUP(J278, Forest_data[[#All],[Age]],Forest_data[[#All],[Number of trees per ha]]),"")</f>
        <v/>
      </c>
      <c r="L278" s="257" t="str">
        <f>IF(ISNUMBER(J278),IF(ISNA(VLOOKUP(J278,Forest_data[#All],3,FALSE)),#N/A, VLOOKUP(J278,Forest_data[#All],3,FALSE)),"")</f>
        <v/>
      </c>
      <c r="M278" s="257" t="str">
        <f>IF(ISNUMBER(J278),IF(ISNA(VLOOKUP(J278,Forest_data[#All],4,FALSE)),#N/A, VLOOKUP(J278,Forest_data[#All],4,FALSE)),"")</f>
        <v/>
      </c>
      <c r="N278" s="257" t="str">
        <f>IF(ISNUMBER(J278),IF(ISNA(VLOOKUP(J278,Forest_data[#All],5,FALSE)),#N/A, VLOOKUP(J278,Forest_data[#All],5,FALSE)),"")</f>
        <v/>
      </c>
      <c r="O278" s="257" t="str">
        <f>IF(ISNUMBER(J278),IF(ISNA(VLOOKUP(J278,Forest_data[#All],6,FALSE)),#N/A, VLOOKUP(J278,Forest_data[#All],6,FALSE)),"")</f>
        <v/>
      </c>
      <c r="P278" s="257" t="str">
        <f t="shared" si="39"/>
        <v/>
      </c>
      <c r="Q278" s="257" t="str">
        <f t="shared" si="32"/>
        <v/>
      </c>
      <c r="R278" s="257" t="str">
        <f t="shared" si="37"/>
        <v/>
      </c>
      <c r="S278" s="283" t="str">
        <f t="shared" si="33"/>
        <v/>
      </c>
      <c r="T278" s="258" t="str">
        <f t="shared" si="34"/>
        <v/>
      </c>
      <c r="U278" s="257" t="str">
        <f t="shared" si="35"/>
        <v/>
      </c>
      <c r="V278" s="257" t="str">
        <f t="shared" si="38"/>
        <v/>
      </c>
      <c r="W278" s="283" t="str">
        <f t="shared" si="36"/>
        <v/>
      </c>
      <c r="X278" s="253"/>
      <c r="Y278" s="253"/>
      <c r="Z278" s="253"/>
      <c r="AA278" s="253"/>
      <c r="AB278" s="253"/>
      <c r="AC278" s="253"/>
      <c r="AD278" s="253"/>
      <c r="AE278" s="253"/>
      <c r="AF278" s="253"/>
      <c r="AG278" s="253"/>
      <c r="AH278" s="253"/>
      <c r="AI278" s="253"/>
      <c r="AJ278" s="253"/>
      <c r="AK278" s="253"/>
      <c r="AL278" s="253"/>
      <c r="AM278" s="253"/>
      <c r="AN278" s="253"/>
      <c r="AO278" s="253"/>
      <c r="AP278" s="253"/>
      <c r="AQ278" s="253"/>
      <c r="AR278" s="253"/>
      <c r="AS278" s="253"/>
      <c r="AT278" s="253"/>
      <c r="AU278" s="253"/>
    </row>
    <row r="279" spans="9:47" ht="19.5" customHeight="1" x14ac:dyDescent="0.25">
      <c r="I279" s="83">
        <v>264</v>
      </c>
      <c r="J279" s="255" t="str">
        <f>IF(I279&lt;=MAX(Forest_data[Age]),I279,"")</f>
        <v/>
      </c>
      <c r="K279" s="256" t="str">
        <f>IF(ISNUMBER(J279),LOOKUP(J279, Forest_data[[#All],[Age]],Forest_data[[#All],[Number of trees per ha]]),"")</f>
        <v/>
      </c>
      <c r="L279" s="257" t="str">
        <f>IF(ISNUMBER(J279),IF(ISNA(VLOOKUP(J279,Forest_data[#All],3,FALSE)),#N/A, VLOOKUP(J279,Forest_data[#All],3,FALSE)),"")</f>
        <v/>
      </c>
      <c r="M279" s="257" t="str">
        <f>IF(ISNUMBER(J279),IF(ISNA(VLOOKUP(J279,Forest_data[#All],4,FALSE)),#N/A, VLOOKUP(J279,Forest_data[#All],4,FALSE)),"")</f>
        <v/>
      </c>
      <c r="N279" s="257" t="str">
        <f>IF(ISNUMBER(J279),IF(ISNA(VLOOKUP(J279,Forest_data[#All],5,FALSE)),#N/A, VLOOKUP(J279,Forest_data[#All],5,FALSE)),"")</f>
        <v/>
      </c>
      <c r="O279" s="257" t="str">
        <f>IF(ISNUMBER(J279),IF(ISNA(VLOOKUP(J279,Forest_data[#All],6,FALSE)),#N/A, VLOOKUP(J279,Forest_data[#All],6,FALSE)),"")</f>
        <v/>
      </c>
      <c r="P279" s="257" t="str">
        <f t="shared" si="39"/>
        <v/>
      </c>
      <c r="Q279" s="257" t="str">
        <f t="shared" si="32"/>
        <v/>
      </c>
      <c r="R279" s="257" t="str">
        <f t="shared" si="37"/>
        <v/>
      </c>
      <c r="S279" s="283" t="str">
        <f t="shared" si="33"/>
        <v/>
      </c>
      <c r="T279" s="258" t="str">
        <f t="shared" si="34"/>
        <v/>
      </c>
      <c r="U279" s="257" t="str">
        <f t="shared" si="35"/>
        <v/>
      </c>
      <c r="V279" s="257" t="str">
        <f t="shared" si="38"/>
        <v/>
      </c>
      <c r="W279" s="283" t="str">
        <f t="shared" si="36"/>
        <v/>
      </c>
      <c r="X279" s="253"/>
      <c r="Y279" s="253"/>
      <c r="Z279" s="253"/>
      <c r="AA279" s="253"/>
      <c r="AB279" s="253"/>
      <c r="AC279" s="253"/>
      <c r="AD279" s="253"/>
      <c r="AE279" s="253"/>
      <c r="AF279" s="253"/>
      <c r="AG279" s="253"/>
      <c r="AH279" s="253"/>
      <c r="AI279" s="253"/>
      <c r="AJ279" s="253"/>
      <c r="AK279" s="253"/>
      <c r="AL279" s="253"/>
      <c r="AM279" s="253"/>
      <c r="AN279" s="253"/>
      <c r="AO279" s="253"/>
      <c r="AP279" s="253"/>
      <c r="AQ279" s="253"/>
      <c r="AR279" s="253"/>
      <c r="AS279" s="253"/>
      <c r="AT279" s="253"/>
      <c r="AU279" s="253"/>
    </row>
    <row r="280" spans="9:47" ht="19.5" customHeight="1" x14ac:dyDescent="0.25">
      <c r="I280" s="260">
        <v>265</v>
      </c>
      <c r="J280" s="255" t="str">
        <f>IF(I280&lt;=MAX(Forest_data[Age]),I280,"")</f>
        <v/>
      </c>
      <c r="K280" s="256" t="str">
        <f>IF(ISNUMBER(J280),LOOKUP(J280, Forest_data[[#All],[Age]],Forest_data[[#All],[Number of trees per ha]]),"")</f>
        <v/>
      </c>
      <c r="L280" s="257" t="str">
        <f>IF(ISNUMBER(J280),IF(ISNA(VLOOKUP(J280,Forest_data[#All],3,FALSE)),#N/A, VLOOKUP(J280,Forest_data[#All],3,FALSE)),"")</f>
        <v/>
      </c>
      <c r="M280" s="257" t="str">
        <f>IF(ISNUMBER(J280),IF(ISNA(VLOOKUP(J280,Forest_data[#All],4,FALSE)),#N/A, VLOOKUP(J280,Forest_data[#All],4,FALSE)),"")</f>
        <v/>
      </c>
      <c r="N280" s="257" t="str">
        <f>IF(ISNUMBER(J280),IF(ISNA(VLOOKUP(J280,Forest_data[#All],5,FALSE)),#N/A, VLOOKUP(J280,Forest_data[#All],5,FALSE)),"")</f>
        <v/>
      </c>
      <c r="O280" s="257" t="str">
        <f>IF(ISNUMBER(J280),IF(ISNA(VLOOKUP(J280,Forest_data[#All],6,FALSE)),#N/A, VLOOKUP(J280,Forest_data[#All],6,FALSE)),"")</f>
        <v/>
      </c>
      <c r="P280" s="257" t="str">
        <f t="shared" si="39"/>
        <v/>
      </c>
      <c r="Q280" s="257" t="str">
        <f t="shared" si="32"/>
        <v/>
      </c>
      <c r="R280" s="257" t="str">
        <f t="shared" si="37"/>
        <v/>
      </c>
      <c r="S280" s="283" t="str">
        <f t="shared" si="33"/>
        <v/>
      </c>
      <c r="T280" s="258" t="str">
        <f t="shared" si="34"/>
        <v/>
      </c>
      <c r="U280" s="257" t="str">
        <f t="shared" si="35"/>
        <v/>
      </c>
      <c r="V280" s="257" t="str">
        <f t="shared" si="38"/>
        <v/>
      </c>
      <c r="W280" s="283" t="str">
        <f t="shared" si="36"/>
        <v/>
      </c>
      <c r="X280" s="253"/>
      <c r="Y280" s="253"/>
      <c r="Z280" s="253"/>
      <c r="AA280" s="253"/>
      <c r="AB280" s="253"/>
      <c r="AC280" s="253"/>
      <c r="AD280" s="253"/>
      <c r="AE280" s="253"/>
      <c r="AF280" s="253"/>
      <c r="AG280" s="253"/>
      <c r="AH280" s="253"/>
      <c r="AI280" s="253"/>
      <c r="AJ280" s="253"/>
      <c r="AK280" s="253"/>
      <c r="AL280" s="253"/>
      <c r="AM280" s="253"/>
      <c r="AN280" s="253"/>
      <c r="AO280" s="253"/>
      <c r="AP280" s="253"/>
      <c r="AQ280" s="253"/>
      <c r="AR280" s="253"/>
      <c r="AS280" s="253"/>
      <c r="AT280" s="253"/>
      <c r="AU280" s="253"/>
    </row>
    <row r="281" spans="9:47" ht="19.5" customHeight="1" x14ac:dyDescent="0.25">
      <c r="I281" s="83">
        <v>266</v>
      </c>
      <c r="J281" s="255" t="str">
        <f>IF(I281&lt;=MAX(Forest_data[Age]),I281,"")</f>
        <v/>
      </c>
      <c r="K281" s="256" t="str">
        <f>IF(ISNUMBER(J281),LOOKUP(J281, Forest_data[[#All],[Age]],Forest_data[[#All],[Number of trees per ha]]),"")</f>
        <v/>
      </c>
      <c r="L281" s="257" t="str">
        <f>IF(ISNUMBER(J281),IF(ISNA(VLOOKUP(J281,Forest_data[#All],3,FALSE)),#N/A, VLOOKUP(J281,Forest_data[#All],3,FALSE)),"")</f>
        <v/>
      </c>
      <c r="M281" s="257" t="str">
        <f>IF(ISNUMBER(J281),IF(ISNA(VLOOKUP(J281,Forest_data[#All],4,FALSE)),#N/A, VLOOKUP(J281,Forest_data[#All],4,FALSE)),"")</f>
        <v/>
      </c>
      <c r="N281" s="257" t="str">
        <f>IF(ISNUMBER(J281),IF(ISNA(VLOOKUP(J281,Forest_data[#All],5,FALSE)),#N/A, VLOOKUP(J281,Forest_data[#All],5,FALSE)),"")</f>
        <v/>
      </c>
      <c r="O281" s="257" t="str">
        <f>IF(ISNUMBER(J281),IF(ISNA(VLOOKUP(J281,Forest_data[#All],6,FALSE)),#N/A, VLOOKUP(J281,Forest_data[#All],6,FALSE)),"")</f>
        <v/>
      </c>
      <c r="P281" s="257" t="str">
        <f t="shared" si="39"/>
        <v/>
      </c>
      <c r="Q281" s="257" t="str">
        <f t="shared" si="32"/>
        <v/>
      </c>
      <c r="R281" s="257" t="str">
        <f t="shared" si="37"/>
        <v/>
      </c>
      <c r="S281" s="283" t="str">
        <f t="shared" si="33"/>
        <v/>
      </c>
      <c r="T281" s="258" t="str">
        <f t="shared" si="34"/>
        <v/>
      </c>
      <c r="U281" s="257" t="str">
        <f t="shared" si="35"/>
        <v/>
      </c>
      <c r="V281" s="257" t="str">
        <f t="shared" si="38"/>
        <v/>
      </c>
      <c r="W281" s="283" t="str">
        <f t="shared" si="36"/>
        <v/>
      </c>
      <c r="X281" s="253"/>
      <c r="Y281" s="253"/>
      <c r="Z281" s="253"/>
      <c r="AA281" s="253"/>
      <c r="AB281" s="253"/>
      <c r="AC281" s="253"/>
      <c r="AD281" s="253"/>
      <c r="AE281" s="253"/>
      <c r="AF281" s="253"/>
      <c r="AG281" s="253"/>
      <c r="AH281" s="253"/>
      <c r="AI281" s="253"/>
      <c r="AJ281" s="253"/>
      <c r="AK281" s="253"/>
      <c r="AL281" s="253"/>
      <c r="AM281" s="253"/>
      <c r="AN281" s="253"/>
      <c r="AO281" s="253"/>
      <c r="AP281" s="253"/>
      <c r="AQ281" s="253"/>
      <c r="AR281" s="253"/>
      <c r="AS281" s="253"/>
      <c r="AT281" s="253"/>
      <c r="AU281" s="253"/>
    </row>
    <row r="282" spans="9:47" ht="19.5" customHeight="1" x14ac:dyDescent="0.25">
      <c r="I282" s="83">
        <v>267</v>
      </c>
      <c r="J282" s="255" t="str">
        <f>IF(I282&lt;=MAX(Forest_data[Age]),I282,"")</f>
        <v/>
      </c>
      <c r="K282" s="256" t="str">
        <f>IF(ISNUMBER(J282),LOOKUP(J282, Forest_data[[#All],[Age]],Forest_data[[#All],[Number of trees per ha]]),"")</f>
        <v/>
      </c>
      <c r="L282" s="257" t="str">
        <f>IF(ISNUMBER(J282),IF(ISNA(VLOOKUP(J282,Forest_data[#All],3,FALSE)),#N/A, VLOOKUP(J282,Forest_data[#All],3,FALSE)),"")</f>
        <v/>
      </c>
      <c r="M282" s="257" t="str">
        <f>IF(ISNUMBER(J282),IF(ISNA(VLOOKUP(J282,Forest_data[#All],4,FALSE)),#N/A, VLOOKUP(J282,Forest_data[#All],4,FALSE)),"")</f>
        <v/>
      </c>
      <c r="N282" s="257" t="str">
        <f>IF(ISNUMBER(J282),IF(ISNA(VLOOKUP(J282,Forest_data[#All],5,FALSE)),#N/A, VLOOKUP(J282,Forest_data[#All],5,FALSE)),"")</f>
        <v/>
      </c>
      <c r="O282" s="257" t="str">
        <f>IF(ISNUMBER(J282),IF(ISNA(VLOOKUP(J282,Forest_data[#All],6,FALSE)),#N/A, VLOOKUP(J282,Forest_data[#All],6,FALSE)),"")</f>
        <v/>
      </c>
      <c r="P282" s="257" t="str">
        <f t="shared" si="39"/>
        <v/>
      </c>
      <c r="Q282" s="257" t="str">
        <f t="shared" si="32"/>
        <v/>
      </c>
      <c r="R282" s="257" t="str">
        <f t="shared" si="37"/>
        <v/>
      </c>
      <c r="S282" s="283" t="str">
        <f t="shared" si="33"/>
        <v/>
      </c>
      <c r="T282" s="258" t="str">
        <f t="shared" si="34"/>
        <v/>
      </c>
      <c r="U282" s="257" t="str">
        <f t="shared" si="35"/>
        <v/>
      </c>
      <c r="V282" s="257" t="str">
        <f t="shared" si="38"/>
        <v/>
      </c>
      <c r="W282" s="283" t="str">
        <f t="shared" si="36"/>
        <v/>
      </c>
      <c r="X282" s="253"/>
      <c r="Y282" s="253"/>
      <c r="Z282" s="253"/>
      <c r="AA282" s="253"/>
      <c r="AB282" s="253"/>
      <c r="AC282" s="253"/>
      <c r="AD282" s="253"/>
      <c r="AE282" s="253"/>
      <c r="AF282" s="253"/>
      <c r="AG282" s="253"/>
      <c r="AH282" s="253"/>
      <c r="AI282" s="253"/>
      <c r="AJ282" s="253"/>
      <c r="AK282" s="253"/>
      <c r="AL282" s="253"/>
      <c r="AM282" s="253"/>
      <c r="AN282" s="253"/>
      <c r="AO282" s="253"/>
      <c r="AP282" s="253"/>
      <c r="AQ282" s="253"/>
      <c r="AR282" s="253"/>
      <c r="AS282" s="253"/>
      <c r="AT282" s="253"/>
      <c r="AU282" s="253"/>
    </row>
    <row r="283" spans="9:47" ht="19.5" customHeight="1" x14ac:dyDescent="0.25">
      <c r="I283" s="83">
        <v>268</v>
      </c>
      <c r="J283" s="255" t="str">
        <f>IF(I283&lt;=MAX(Forest_data[Age]),I283,"")</f>
        <v/>
      </c>
      <c r="K283" s="256" t="str">
        <f>IF(ISNUMBER(J283),LOOKUP(J283, Forest_data[[#All],[Age]],Forest_data[[#All],[Number of trees per ha]]),"")</f>
        <v/>
      </c>
      <c r="L283" s="257" t="str">
        <f>IF(ISNUMBER(J283),IF(ISNA(VLOOKUP(J283,Forest_data[#All],3,FALSE)),#N/A, VLOOKUP(J283,Forest_data[#All],3,FALSE)),"")</f>
        <v/>
      </c>
      <c r="M283" s="257" t="str">
        <f>IF(ISNUMBER(J283),IF(ISNA(VLOOKUP(J283,Forest_data[#All],4,FALSE)),#N/A, VLOOKUP(J283,Forest_data[#All],4,FALSE)),"")</f>
        <v/>
      </c>
      <c r="N283" s="257" t="str">
        <f>IF(ISNUMBER(J283),IF(ISNA(VLOOKUP(J283,Forest_data[#All],5,FALSE)),#N/A, VLOOKUP(J283,Forest_data[#All],5,FALSE)),"")</f>
        <v/>
      </c>
      <c r="O283" s="257" t="str">
        <f>IF(ISNUMBER(J283),IF(ISNA(VLOOKUP(J283,Forest_data[#All],6,FALSE)),#N/A, VLOOKUP(J283,Forest_data[#All],6,FALSE)),"")</f>
        <v/>
      </c>
      <c r="P283" s="257" t="str">
        <f t="shared" si="39"/>
        <v/>
      </c>
      <c r="Q283" s="257" t="str">
        <f t="shared" si="32"/>
        <v/>
      </c>
      <c r="R283" s="257" t="str">
        <f t="shared" si="37"/>
        <v/>
      </c>
      <c r="S283" s="283" t="str">
        <f t="shared" si="33"/>
        <v/>
      </c>
      <c r="T283" s="258" t="str">
        <f t="shared" si="34"/>
        <v/>
      </c>
      <c r="U283" s="257" t="str">
        <f t="shared" si="35"/>
        <v/>
      </c>
      <c r="V283" s="257" t="str">
        <f t="shared" si="38"/>
        <v/>
      </c>
      <c r="W283" s="283" t="str">
        <f t="shared" si="36"/>
        <v/>
      </c>
      <c r="X283" s="253"/>
      <c r="Y283" s="253"/>
      <c r="Z283" s="253"/>
      <c r="AA283" s="253"/>
      <c r="AB283" s="253"/>
      <c r="AC283" s="253"/>
      <c r="AD283" s="253"/>
      <c r="AE283" s="253"/>
      <c r="AF283" s="253"/>
      <c r="AG283" s="253"/>
      <c r="AH283" s="253"/>
      <c r="AI283" s="253"/>
      <c r="AJ283" s="253"/>
      <c r="AK283" s="253"/>
      <c r="AL283" s="253"/>
      <c r="AM283" s="253"/>
      <c r="AN283" s="253"/>
      <c r="AO283" s="253"/>
      <c r="AP283" s="253"/>
      <c r="AQ283" s="253"/>
      <c r="AR283" s="253"/>
      <c r="AS283" s="253"/>
      <c r="AT283" s="253"/>
      <c r="AU283" s="253"/>
    </row>
    <row r="284" spans="9:47" x14ac:dyDescent="0.25">
      <c r="I284" s="260">
        <v>269</v>
      </c>
      <c r="J284" s="255" t="str">
        <f>IF(I284&lt;=MAX(Forest_data[Age]),I284,"")</f>
        <v/>
      </c>
      <c r="K284" s="256" t="str">
        <f>IF(ISNUMBER(J284),LOOKUP(J284, Forest_data[[#All],[Age]],Forest_data[[#All],[Number of trees per ha]]),"")</f>
        <v/>
      </c>
      <c r="L284" s="257" t="str">
        <f>IF(ISNUMBER(J284),IF(ISNA(VLOOKUP(J284,Forest_data[#All],3,FALSE)),#N/A, VLOOKUP(J284,Forest_data[#All],3,FALSE)),"")</f>
        <v/>
      </c>
      <c r="M284" s="257" t="str">
        <f>IF(ISNUMBER(J284),IF(ISNA(VLOOKUP(J284,Forest_data[#All],4,FALSE)),#N/A, VLOOKUP(J284,Forest_data[#All],4,FALSE)),"")</f>
        <v/>
      </c>
      <c r="N284" s="257" t="str">
        <f>IF(ISNUMBER(J284),IF(ISNA(VLOOKUP(J284,Forest_data[#All],5,FALSE)),#N/A, VLOOKUP(J284,Forest_data[#All],5,FALSE)),"")</f>
        <v/>
      </c>
      <c r="O284" s="257" t="str">
        <f>IF(ISNUMBER(J284),IF(ISNA(VLOOKUP(J284,Forest_data[#All],6,FALSE)),#N/A, VLOOKUP(J284,Forest_data[#All],6,FALSE)),"")</f>
        <v/>
      </c>
      <c r="P284" s="257" t="str">
        <f t="shared" si="39"/>
        <v/>
      </c>
      <c r="Q284" s="257" t="str">
        <f t="shared" si="32"/>
        <v/>
      </c>
      <c r="R284" s="257" t="str">
        <f t="shared" si="37"/>
        <v/>
      </c>
      <c r="S284" s="283" t="str">
        <f t="shared" si="33"/>
        <v/>
      </c>
      <c r="T284" s="258" t="str">
        <f t="shared" si="34"/>
        <v/>
      </c>
      <c r="U284" s="257" t="str">
        <f t="shared" si="35"/>
        <v/>
      </c>
      <c r="V284" s="257" t="str">
        <f t="shared" si="38"/>
        <v/>
      </c>
      <c r="W284" s="283" t="str">
        <f t="shared" si="36"/>
        <v/>
      </c>
      <c r="X284" s="253"/>
      <c r="Y284" s="253"/>
      <c r="Z284" s="253"/>
      <c r="AA284" s="253"/>
      <c r="AB284" s="253"/>
      <c r="AC284" s="253"/>
      <c r="AD284" s="253"/>
      <c r="AE284" s="253"/>
      <c r="AF284" s="253"/>
      <c r="AG284" s="253"/>
      <c r="AH284" s="253"/>
      <c r="AI284" s="253"/>
      <c r="AJ284" s="253"/>
      <c r="AK284" s="253"/>
      <c r="AL284" s="253"/>
      <c r="AM284" s="253"/>
      <c r="AN284" s="253"/>
      <c r="AO284" s="253"/>
      <c r="AP284" s="253"/>
      <c r="AQ284" s="253"/>
      <c r="AR284" s="253"/>
      <c r="AS284" s="253"/>
      <c r="AT284" s="253"/>
      <c r="AU284" s="253"/>
    </row>
    <row r="285" spans="9:47" x14ac:dyDescent="0.25">
      <c r="I285" s="83">
        <v>270</v>
      </c>
      <c r="J285" s="255" t="str">
        <f>IF(I285&lt;=MAX(Forest_data[Age]),I285,"")</f>
        <v/>
      </c>
      <c r="K285" s="256" t="str">
        <f>IF(ISNUMBER(J285),LOOKUP(J285, Forest_data[[#All],[Age]],Forest_data[[#All],[Number of trees per ha]]),"")</f>
        <v/>
      </c>
      <c r="L285" s="257" t="str">
        <f>IF(ISNUMBER(J285),IF(ISNA(VLOOKUP(J285,Forest_data[#All],3,FALSE)),#N/A, VLOOKUP(J285,Forest_data[#All],3,FALSE)),"")</f>
        <v/>
      </c>
      <c r="M285" s="257" t="str">
        <f>IF(ISNUMBER(J285),IF(ISNA(VLOOKUP(J285,Forest_data[#All],4,FALSE)),#N/A, VLOOKUP(J285,Forest_data[#All],4,FALSE)),"")</f>
        <v/>
      </c>
      <c r="N285" s="257" t="str">
        <f>IF(ISNUMBER(J285),IF(ISNA(VLOOKUP(J285,Forest_data[#All],5,FALSE)),#N/A, VLOOKUP(J285,Forest_data[#All],5,FALSE)),"")</f>
        <v/>
      </c>
      <c r="O285" s="257" t="str">
        <f>IF(ISNUMBER(J285),IF(ISNA(VLOOKUP(J285,Forest_data[#All],6,FALSE)),#N/A, VLOOKUP(J285,Forest_data[#All],6,FALSE)),"")</f>
        <v/>
      </c>
      <c r="P285" s="257" t="str">
        <f t="shared" si="39"/>
        <v/>
      </c>
      <c r="Q285" s="257" t="str">
        <f t="shared" si="32"/>
        <v/>
      </c>
      <c r="R285" s="257" t="str">
        <f t="shared" si="37"/>
        <v/>
      </c>
      <c r="S285" s="283" t="str">
        <f t="shared" si="33"/>
        <v/>
      </c>
      <c r="T285" s="258" t="str">
        <f t="shared" si="34"/>
        <v/>
      </c>
      <c r="U285" s="257" t="str">
        <f t="shared" si="35"/>
        <v/>
      </c>
      <c r="V285" s="257" t="str">
        <f t="shared" si="38"/>
        <v/>
      </c>
      <c r="W285" s="283" t="str">
        <f t="shared" si="36"/>
        <v/>
      </c>
      <c r="X285" s="253"/>
      <c r="Y285" s="253"/>
      <c r="Z285" s="253"/>
      <c r="AA285" s="253"/>
      <c r="AB285" s="253"/>
      <c r="AC285" s="253"/>
      <c r="AD285" s="253"/>
      <c r="AE285" s="253"/>
      <c r="AF285" s="253"/>
      <c r="AG285" s="253"/>
      <c r="AH285" s="253"/>
      <c r="AI285" s="253"/>
      <c r="AJ285" s="253"/>
      <c r="AK285" s="253"/>
      <c r="AL285" s="253"/>
      <c r="AM285" s="253"/>
      <c r="AN285" s="253"/>
      <c r="AO285" s="253"/>
      <c r="AP285" s="253"/>
      <c r="AQ285" s="253"/>
      <c r="AR285" s="253"/>
      <c r="AS285" s="253"/>
      <c r="AT285" s="253"/>
      <c r="AU285" s="253"/>
    </row>
    <row r="286" spans="9:47" x14ac:dyDescent="0.25">
      <c r="I286" s="83">
        <v>271</v>
      </c>
      <c r="J286" s="255" t="str">
        <f>IF(I286&lt;=MAX(Forest_data[Age]),I286,"")</f>
        <v/>
      </c>
      <c r="K286" s="256" t="str">
        <f>IF(ISNUMBER(J286),LOOKUP(J286, Forest_data[[#All],[Age]],Forest_data[[#All],[Number of trees per ha]]),"")</f>
        <v/>
      </c>
      <c r="L286" s="257" t="str">
        <f>IF(ISNUMBER(J286),IF(ISNA(VLOOKUP(J286,Forest_data[#All],3,FALSE)),#N/A, VLOOKUP(J286,Forest_data[#All],3,FALSE)),"")</f>
        <v/>
      </c>
      <c r="M286" s="257" t="str">
        <f>IF(ISNUMBER(J286),IF(ISNA(VLOOKUP(J286,Forest_data[#All],4,FALSE)),#N/A, VLOOKUP(J286,Forest_data[#All],4,FALSE)),"")</f>
        <v/>
      </c>
      <c r="N286" s="257" t="str">
        <f>IF(ISNUMBER(J286),IF(ISNA(VLOOKUP(J286,Forest_data[#All],5,FALSE)),#N/A, VLOOKUP(J286,Forest_data[#All],5,FALSE)),"")</f>
        <v/>
      </c>
      <c r="O286" s="257" t="str">
        <f>IF(ISNUMBER(J286),IF(ISNA(VLOOKUP(J286,Forest_data[#All],6,FALSE)),#N/A, VLOOKUP(J286,Forest_data[#All],6,FALSE)),"")</f>
        <v/>
      </c>
      <c r="P286" s="257" t="str">
        <f t="shared" si="39"/>
        <v/>
      </c>
      <c r="Q286" s="257" t="str">
        <f t="shared" si="32"/>
        <v/>
      </c>
      <c r="R286" s="257" t="str">
        <f t="shared" si="37"/>
        <v/>
      </c>
      <c r="S286" s="283" t="str">
        <f t="shared" si="33"/>
        <v/>
      </c>
      <c r="T286" s="258" t="str">
        <f t="shared" si="34"/>
        <v/>
      </c>
      <c r="U286" s="257" t="str">
        <f t="shared" si="35"/>
        <v/>
      </c>
      <c r="V286" s="257" t="str">
        <f t="shared" si="38"/>
        <v/>
      </c>
      <c r="W286" s="283" t="str">
        <f t="shared" si="36"/>
        <v/>
      </c>
      <c r="X286" s="253"/>
      <c r="Y286" s="253"/>
      <c r="Z286" s="253"/>
      <c r="AA286" s="253"/>
      <c r="AB286" s="253"/>
      <c r="AC286" s="253"/>
      <c r="AD286" s="253"/>
      <c r="AE286" s="253"/>
      <c r="AF286" s="253"/>
      <c r="AG286" s="253"/>
      <c r="AH286" s="253"/>
      <c r="AI286" s="253"/>
      <c r="AJ286" s="253"/>
      <c r="AK286" s="253"/>
      <c r="AL286" s="253"/>
      <c r="AM286" s="253"/>
      <c r="AN286" s="253"/>
      <c r="AO286" s="253"/>
      <c r="AP286" s="253"/>
      <c r="AQ286" s="253"/>
      <c r="AR286" s="253"/>
      <c r="AS286" s="253"/>
      <c r="AT286" s="253"/>
      <c r="AU286" s="253"/>
    </row>
    <row r="287" spans="9:47" x14ac:dyDescent="0.25">
      <c r="I287" s="83">
        <v>272</v>
      </c>
      <c r="J287" s="255" t="str">
        <f>IF(I287&lt;=MAX(Forest_data[Age]),I287,"")</f>
        <v/>
      </c>
      <c r="K287" s="256" t="str">
        <f>IF(ISNUMBER(J287),LOOKUP(J287, Forest_data[[#All],[Age]],Forest_data[[#All],[Number of trees per ha]]),"")</f>
        <v/>
      </c>
      <c r="L287" s="257" t="str">
        <f>IF(ISNUMBER(J287),IF(ISNA(VLOOKUP(J287,Forest_data[#All],3,FALSE)),#N/A, VLOOKUP(J287,Forest_data[#All],3,FALSE)),"")</f>
        <v/>
      </c>
      <c r="M287" s="257" t="str">
        <f>IF(ISNUMBER(J287),IF(ISNA(VLOOKUP(J287,Forest_data[#All],4,FALSE)),#N/A, VLOOKUP(J287,Forest_data[#All],4,FALSE)),"")</f>
        <v/>
      </c>
      <c r="N287" s="257" t="str">
        <f>IF(ISNUMBER(J287),IF(ISNA(VLOOKUP(J287,Forest_data[#All],5,FALSE)),#N/A, VLOOKUP(J287,Forest_data[#All],5,FALSE)),"")</f>
        <v/>
      </c>
      <c r="O287" s="257" t="str">
        <f>IF(ISNUMBER(J287),IF(ISNA(VLOOKUP(J287,Forest_data[#All],6,FALSE)),#N/A, VLOOKUP(J287,Forest_data[#All],6,FALSE)),"")</f>
        <v/>
      </c>
      <c r="P287" s="257" t="str">
        <f t="shared" si="39"/>
        <v/>
      </c>
      <c r="Q287" s="257" t="str">
        <f t="shared" si="32"/>
        <v/>
      </c>
      <c r="R287" s="257" t="str">
        <f t="shared" si="37"/>
        <v/>
      </c>
      <c r="S287" s="283" t="str">
        <f t="shared" si="33"/>
        <v/>
      </c>
      <c r="T287" s="258" t="str">
        <f t="shared" si="34"/>
        <v/>
      </c>
      <c r="U287" s="257" t="str">
        <f t="shared" si="35"/>
        <v/>
      </c>
      <c r="V287" s="257" t="str">
        <f t="shared" si="38"/>
        <v/>
      </c>
      <c r="W287" s="283" t="str">
        <f t="shared" si="36"/>
        <v/>
      </c>
      <c r="X287" s="253"/>
      <c r="Y287" s="253"/>
      <c r="Z287" s="253"/>
      <c r="AA287" s="253"/>
      <c r="AB287" s="253"/>
      <c r="AC287" s="253"/>
      <c r="AD287" s="253"/>
      <c r="AE287" s="253"/>
      <c r="AF287" s="253"/>
      <c r="AG287" s="253"/>
      <c r="AH287" s="253"/>
      <c r="AI287" s="253"/>
      <c r="AJ287" s="253"/>
      <c r="AK287" s="253"/>
      <c r="AL287" s="253"/>
      <c r="AM287" s="253"/>
      <c r="AN287" s="253"/>
      <c r="AO287" s="253"/>
      <c r="AP287" s="253"/>
      <c r="AQ287" s="253"/>
      <c r="AR287" s="253"/>
      <c r="AS287" s="253"/>
      <c r="AT287" s="253"/>
      <c r="AU287" s="253"/>
    </row>
    <row r="288" spans="9:47" x14ac:dyDescent="0.25">
      <c r="I288" s="260">
        <v>273</v>
      </c>
      <c r="J288" s="255" t="str">
        <f>IF(I288&lt;=MAX(Forest_data[Age]),I288,"")</f>
        <v/>
      </c>
      <c r="K288" s="256" t="str">
        <f>IF(ISNUMBER(J288),LOOKUP(J288, Forest_data[[#All],[Age]],Forest_data[[#All],[Number of trees per ha]]),"")</f>
        <v/>
      </c>
      <c r="L288" s="257" t="str">
        <f>IF(ISNUMBER(J288),IF(ISNA(VLOOKUP(J288,Forest_data[#All],3,FALSE)),#N/A, VLOOKUP(J288,Forest_data[#All],3,FALSE)),"")</f>
        <v/>
      </c>
      <c r="M288" s="257" t="str">
        <f>IF(ISNUMBER(J288),IF(ISNA(VLOOKUP(J288,Forest_data[#All],4,FALSE)),#N/A, VLOOKUP(J288,Forest_data[#All],4,FALSE)),"")</f>
        <v/>
      </c>
      <c r="N288" s="257" t="str">
        <f>IF(ISNUMBER(J288),IF(ISNA(VLOOKUP(J288,Forest_data[#All],5,FALSE)),#N/A, VLOOKUP(J288,Forest_data[#All],5,FALSE)),"")</f>
        <v/>
      </c>
      <c r="O288" s="257" t="str">
        <f>IF(ISNUMBER(J288),IF(ISNA(VLOOKUP(J288,Forest_data[#All],6,FALSE)),#N/A, VLOOKUP(J288,Forest_data[#All],6,FALSE)),"")</f>
        <v/>
      </c>
      <c r="P288" s="257" t="str">
        <f t="shared" si="39"/>
        <v/>
      </c>
      <c r="Q288" s="257" t="str">
        <f t="shared" si="32"/>
        <v/>
      </c>
      <c r="R288" s="257" t="str">
        <f t="shared" si="37"/>
        <v/>
      </c>
      <c r="S288" s="283" t="str">
        <f t="shared" si="33"/>
        <v/>
      </c>
      <c r="T288" s="258" t="str">
        <f t="shared" si="34"/>
        <v/>
      </c>
      <c r="U288" s="257" t="str">
        <f t="shared" si="35"/>
        <v/>
      </c>
      <c r="V288" s="257" t="str">
        <f t="shared" si="38"/>
        <v/>
      </c>
      <c r="W288" s="283" t="str">
        <f t="shared" si="36"/>
        <v/>
      </c>
      <c r="X288" s="253"/>
      <c r="Y288" s="253"/>
      <c r="Z288" s="253"/>
      <c r="AA288" s="253"/>
      <c r="AB288" s="253"/>
      <c r="AC288" s="253"/>
      <c r="AD288" s="253"/>
      <c r="AE288" s="253"/>
      <c r="AF288" s="253"/>
      <c r="AG288" s="253"/>
      <c r="AH288" s="253"/>
      <c r="AI288" s="253"/>
      <c r="AJ288" s="253"/>
      <c r="AK288" s="253"/>
      <c r="AL288" s="253"/>
      <c r="AM288" s="253"/>
      <c r="AN288" s="253"/>
      <c r="AO288" s="253"/>
      <c r="AP288" s="253"/>
      <c r="AQ288" s="253"/>
      <c r="AR288" s="253"/>
      <c r="AS288" s="253"/>
      <c r="AT288" s="253"/>
      <c r="AU288" s="253"/>
    </row>
    <row r="289" spans="9:47" x14ac:dyDescent="0.25">
      <c r="I289" s="83">
        <v>274</v>
      </c>
      <c r="J289" s="255" t="str">
        <f>IF(I289&lt;=MAX(Forest_data[Age]),I289,"")</f>
        <v/>
      </c>
      <c r="K289" s="256" t="str">
        <f>IF(ISNUMBER(J289),LOOKUP(J289, Forest_data[[#All],[Age]],Forest_data[[#All],[Number of trees per ha]]),"")</f>
        <v/>
      </c>
      <c r="L289" s="257" t="str">
        <f>IF(ISNUMBER(J289),IF(ISNA(VLOOKUP(J289,Forest_data[#All],3,FALSE)),#N/A, VLOOKUP(J289,Forest_data[#All],3,FALSE)),"")</f>
        <v/>
      </c>
      <c r="M289" s="257" t="str">
        <f>IF(ISNUMBER(J289),IF(ISNA(VLOOKUP(J289,Forest_data[#All],4,FALSE)),#N/A, VLOOKUP(J289,Forest_data[#All],4,FALSE)),"")</f>
        <v/>
      </c>
      <c r="N289" s="257" t="str">
        <f>IF(ISNUMBER(J289),IF(ISNA(VLOOKUP(J289,Forest_data[#All],5,FALSE)),#N/A, VLOOKUP(J289,Forest_data[#All],5,FALSE)),"")</f>
        <v/>
      </c>
      <c r="O289" s="257" t="str">
        <f>IF(ISNUMBER(J289),IF(ISNA(VLOOKUP(J289,Forest_data[#All],6,FALSE)),#N/A, VLOOKUP(J289,Forest_data[#All],6,FALSE)),"")</f>
        <v/>
      </c>
      <c r="P289" s="257" t="str">
        <f t="shared" si="39"/>
        <v/>
      </c>
      <c r="Q289" s="257" t="str">
        <f t="shared" si="32"/>
        <v/>
      </c>
      <c r="R289" s="257" t="str">
        <f t="shared" si="37"/>
        <v/>
      </c>
      <c r="S289" s="283" t="str">
        <f t="shared" si="33"/>
        <v/>
      </c>
      <c r="T289" s="258" t="str">
        <f t="shared" si="34"/>
        <v/>
      </c>
      <c r="U289" s="257" t="str">
        <f t="shared" si="35"/>
        <v/>
      </c>
      <c r="V289" s="257" t="str">
        <f t="shared" si="38"/>
        <v/>
      </c>
      <c r="W289" s="283" t="str">
        <f t="shared" si="36"/>
        <v/>
      </c>
      <c r="X289" s="253"/>
      <c r="Y289" s="253"/>
      <c r="Z289" s="253"/>
      <c r="AA289" s="253"/>
      <c r="AB289" s="253"/>
      <c r="AC289" s="253"/>
      <c r="AD289" s="253"/>
      <c r="AE289" s="253"/>
      <c r="AF289" s="253"/>
      <c r="AG289" s="253"/>
      <c r="AH289" s="253"/>
      <c r="AI289" s="253"/>
      <c r="AJ289" s="253"/>
      <c r="AK289" s="253"/>
      <c r="AL289" s="253"/>
      <c r="AM289" s="253"/>
      <c r="AN289" s="253"/>
      <c r="AO289" s="253"/>
      <c r="AP289" s="253"/>
      <c r="AQ289" s="253"/>
      <c r="AR289" s="253"/>
      <c r="AS289" s="253"/>
      <c r="AT289" s="253"/>
      <c r="AU289" s="253"/>
    </row>
    <row r="290" spans="9:47" x14ac:dyDescent="0.25">
      <c r="I290" s="83">
        <v>275</v>
      </c>
      <c r="J290" s="255" t="str">
        <f>IF(I290&lt;=MAX(Forest_data[Age]),I290,"")</f>
        <v/>
      </c>
      <c r="K290" s="256" t="str">
        <f>IF(ISNUMBER(J290),LOOKUP(J290, Forest_data[[#All],[Age]],Forest_data[[#All],[Number of trees per ha]]),"")</f>
        <v/>
      </c>
      <c r="L290" s="257" t="str">
        <f>IF(ISNUMBER(J290),IF(ISNA(VLOOKUP(J290,Forest_data[#All],3,FALSE)),#N/A, VLOOKUP(J290,Forest_data[#All],3,FALSE)),"")</f>
        <v/>
      </c>
      <c r="M290" s="257" t="str">
        <f>IF(ISNUMBER(J290),IF(ISNA(VLOOKUP(J290,Forest_data[#All],4,FALSE)),#N/A, VLOOKUP(J290,Forest_data[#All],4,FALSE)),"")</f>
        <v/>
      </c>
      <c r="N290" s="257" t="str">
        <f>IF(ISNUMBER(J290),IF(ISNA(VLOOKUP(J290,Forest_data[#All],5,FALSE)),#N/A, VLOOKUP(J290,Forest_data[#All],5,FALSE)),"")</f>
        <v/>
      </c>
      <c r="O290" s="257" t="str">
        <f>IF(ISNUMBER(J290),IF(ISNA(VLOOKUP(J290,Forest_data[#All],6,FALSE)),#N/A, VLOOKUP(J290,Forest_data[#All],6,FALSE)),"")</f>
        <v/>
      </c>
      <c r="P290" s="257" t="str">
        <f t="shared" si="39"/>
        <v/>
      </c>
      <c r="Q290" s="257" t="str">
        <f t="shared" si="32"/>
        <v/>
      </c>
      <c r="R290" s="257" t="str">
        <f t="shared" si="37"/>
        <v/>
      </c>
      <c r="S290" s="283" t="str">
        <f t="shared" si="33"/>
        <v/>
      </c>
      <c r="T290" s="258" t="str">
        <f t="shared" si="34"/>
        <v/>
      </c>
      <c r="U290" s="257" t="str">
        <f t="shared" si="35"/>
        <v/>
      </c>
      <c r="V290" s="257" t="str">
        <f t="shared" si="38"/>
        <v/>
      </c>
      <c r="W290" s="283" t="str">
        <f t="shared" si="36"/>
        <v/>
      </c>
      <c r="X290" s="253"/>
      <c r="Y290" s="253"/>
      <c r="Z290" s="253"/>
      <c r="AA290" s="253"/>
      <c r="AB290" s="253"/>
      <c r="AC290" s="253"/>
      <c r="AD290" s="253"/>
      <c r="AE290" s="253"/>
      <c r="AF290" s="253"/>
      <c r="AG290" s="253"/>
      <c r="AH290" s="253"/>
      <c r="AI290" s="253"/>
      <c r="AJ290" s="253"/>
      <c r="AK290" s="253"/>
      <c r="AL290" s="253"/>
      <c r="AM290" s="253"/>
      <c r="AN290" s="253"/>
      <c r="AO290" s="253"/>
      <c r="AP290" s="253"/>
      <c r="AQ290" s="253"/>
      <c r="AR290" s="253"/>
      <c r="AS290" s="253"/>
      <c r="AT290" s="253"/>
      <c r="AU290" s="253"/>
    </row>
    <row r="291" spans="9:47" x14ac:dyDescent="0.25">
      <c r="I291" s="83">
        <v>276</v>
      </c>
      <c r="J291" s="255" t="str">
        <f>IF(I291&lt;=MAX(Forest_data[Age]),I291,"")</f>
        <v/>
      </c>
      <c r="K291" s="256" t="str">
        <f>IF(ISNUMBER(J291),LOOKUP(J291, Forest_data[[#All],[Age]],Forest_data[[#All],[Number of trees per ha]]),"")</f>
        <v/>
      </c>
      <c r="L291" s="257" t="str">
        <f>IF(ISNUMBER(J291),IF(ISNA(VLOOKUP(J291,Forest_data[#All],3,FALSE)),#N/A, VLOOKUP(J291,Forest_data[#All],3,FALSE)),"")</f>
        <v/>
      </c>
      <c r="M291" s="257" t="str">
        <f>IF(ISNUMBER(J291),IF(ISNA(VLOOKUP(J291,Forest_data[#All],4,FALSE)),#N/A, VLOOKUP(J291,Forest_data[#All],4,FALSE)),"")</f>
        <v/>
      </c>
      <c r="N291" s="257" t="str">
        <f>IF(ISNUMBER(J291),IF(ISNA(VLOOKUP(J291,Forest_data[#All],5,FALSE)),#N/A, VLOOKUP(J291,Forest_data[#All],5,FALSE)),"")</f>
        <v/>
      </c>
      <c r="O291" s="257" t="str">
        <f>IF(ISNUMBER(J291),IF(ISNA(VLOOKUP(J291,Forest_data[#All],6,FALSE)),#N/A, VLOOKUP(J291,Forest_data[#All],6,FALSE)),"")</f>
        <v/>
      </c>
      <c r="P291" s="257" t="str">
        <f t="shared" si="39"/>
        <v/>
      </c>
      <c r="Q291" s="257" t="str">
        <f t="shared" si="32"/>
        <v/>
      </c>
      <c r="R291" s="257" t="str">
        <f t="shared" si="37"/>
        <v/>
      </c>
      <c r="S291" s="283" t="str">
        <f t="shared" si="33"/>
        <v/>
      </c>
      <c r="T291" s="258" t="str">
        <f t="shared" si="34"/>
        <v/>
      </c>
      <c r="U291" s="257" t="str">
        <f t="shared" si="35"/>
        <v/>
      </c>
      <c r="V291" s="257" t="str">
        <f t="shared" si="38"/>
        <v/>
      </c>
      <c r="W291" s="283" t="str">
        <f t="shared" si="36"/>
        <v/>
      </c>
      <c r="X291" s="253"/>
      <c r="Y291" s="253"/>
      <c r="Z291" s="253"/>
      <c r="AA291" s="253"/>
      <c r="AB291" s="253"/>
      <c r="AC291" s="253"/>
      <c r="AD291" s="253"/>
      <c r="AE291" s="253"/>
      <c r="AF291" s="253"/>
      <c r="AG291" s="253"/>
      <c r="AH291" s="253"/>
      <c r="AI291" s="253"/>
      <c r="AJ291" s="253"/>
      <c r="AK291" s="253"/>
      <c r="AL291" s="253"/>
      <c r="AM291" s="253"/>
      <c r="AN291" s="253"/>
      <c r="AO291" s="253"/>
      <c r="AP291" s="253"/>
      <c r="AQ291" s="253"/>
      <c r="AR291" s="253"/>
      <c r="AS291" s="253"/>
      <c r="AT291" s="253"/>
      <c r="AU291" s="253"/>
    </row>
    <row r="292" spans="9:47" x14ac:dyDescent="0.25">
      <c r="I292" s="260">
        <v>277</v>
      </c>
      <c r="J292" s="255" t="str">
        <f>IF(I292&lt;=MAX(Forest_data[Age]),I292,"")</f>
        <v/>
      </c>
      <c r="K292" s="256" t="str">
        <f>IF(ISNUMBER(J292),LOOKUP(J292, Forest_data[[#All],[Age]],Forest_data[[#All],[Number of trees per ha]]),"")</f>
        <v/>
      </c>
      <c r="L292" s="257" t="str">
        <f>IF(ISNUMBER(J292),IF(ISNA(VLOOKUP(J292,Forest_data[#All],3,FALSE)),#N/A, VLOOKUP(J292,Forest_data[#All],3,FALSE)),"")</f>
        <v/>
      </c>
      <c r="M292" s="257" t="str">
        <f>IF(ISNUMBER(J292),IF(ISNA(VLOOKUP(J292,Forest_data[#All],4,FALSE)),#N/A, VLOOKUP(J292,Forest_data[#All],4,FALSE)),"")</f>
        <v/>
      </c>
      <c r="N292" s="257" t="str">
        <f>IF(ISNUMBER(J292),IF(ISNA(VLOOKUP(J292,Forest_data[#All],5,FALSE)),#N/A, VLOOKUP(J292,Forest_data[#All],5,FALSE)),"")</f>
        <v/>
      </c>
      <c r="O292" s="257" t="str">
        <f>IF(ISNUMBER(J292),IF(ISNA(VLOOKUP(J292,Forest_data[#All],6,FALSE)),#N/A, VLOOKUP(J292,Forest_data[#All],6,FALSE)),"")</f>
        <v/>
      </c>
      <c r="P292" s="257" t="str">
        <f t="shared" si="39"/>
        <v/>
      </c>
      <c r="Q292" s="257" t="str">
        <f t="shared" si="32"/>
        <v/>
      </c>
      <c r="R292" s="257" t="str">
        <f t="shared" si="37"/>
        <v/>
      </c>
      <c r="S292" s="283" t="str">
        <f t="shared" si="33"/>
        <v/>
      </c>
      <c r="T292" s="258" t="str">
        <f t="shared" si="34"/>
        <v/>
      </c>
      <c r="U292" s="257" t="str">
        <f t="shared" si="35"/>
        <v/>
      </c>
      <c r="V292" s="257" t="str">
        <f t="shared" si="38"/>
        <v/>
      </c>
      <c r="W292" s="283" t="str">
        <f t="shared" si="36"/>
        <v/>
      </c>
      <c r="X292" s="253"/>
      <c r="Y292" s="253"/>
      <c r="Z292" s="253"/>
      <c r="AA292" s="253"/>
      <c r="AB292" s="253"/>
      <c r="AC292" s="253"/>
      <c r="AD292" s="253"/>
      <c r="AE292" s="253"/>
      <c r="AF292" s="253"/>
      <c r="AG292" s="253"/>
      <c r="AH292" s="253"/>
      <c r="AI292" s="253"/>
      <c r="AJ292" s="253"/>
      <c r="AK292" s="253"/>
      <c r="AL292" s="253"/>
      <c r="AM292" s="253"/>
      <c r="AN292" s="253"/>
      <c r="AO292" s="253"/>
      <c r="AP292" s="253"/>
      <c r="AQ292" s="253"/>
      <c r="AR292" s="253"/>
      <c r="AS292" s="253"/>
      <c r="AT292" s="253"/>
      <c r="AU292" s="253"/>
    </row>
    <row r="293" spans="9:47" x14ac:dyDescent="0.25">
      <c r="I293" s="83">
        <v>278</v>
      </c>
      <c r="J293" s="255" t="str">
        <f>IF(I293&lt;=MAX(Forest_data[Age]),I293,"")</f>
        <v/>
      </c>
      <c r="K293" s="256" t="str">
        <f>IF(ISNUMBER(J293),LOOKUP(J293, Forest_data[[#All],[Age]],Forest_data[[#All],[Number of trees per ha]]),"")</f>
        <v/>
      </c>
      <c r="L293" s="257" t="str">
        <f>IF(ISNUMBER(J293),IF(ISNA(VLOOKUP(J293,Forest_data[#All],3,FALSE)),#N/A, VLOOKUP(J293,Forest_data[#All],3,FALSE)),"")</f>
        <v/>
      </c>
      <c r="M293" s="257" t="str">
        <f>IF(ISNUMBER(J293),IF(ISNA(VLOOKUP(J293,Forest_data[#All],4,FALSE)),#N/A, VLOOKUP(J293,Forest_data[#All],4,FALSE)),"")</f>
        <v/>
      </c>
      <c r="N293" s="257" t="str">
        <f>IF(ISNUMBER(J293),IF(ISNA(VLOOKUP(J293,Forest_data[#All],5,FALSE)),#N/A, VLOOKUP(J293,Forest_data[#All],5,FALSE)),"")</f>
        <v/>
      </c>
      <c r="O293" s="257" t="str">
        <f>IF(ISNUMBER(J293),IF(ISNA(VLOOKUP(J293,Forest_data[#All],6,FALSE)),#N/A, VLOOKUP(J293,Forest_data[#All],6,FALSE)),"")</f>
        <v/>
      </c>
      <c r="P293" s="257" t="str">
        <f t="shared" si="39"/>
        <v/>
      </c>
      <c r="Q293" s="257" t="str">
        <f t="shared" si="32"/>
        <v/>
      </c>
      <c r="R293" s="257" t="str">
        <f t="shared" si="37"/>
        <v/>
      </c>
      <c r="S293" s="283" t="str">
        <f t="shared" si="33"/>
        <v/>
      </c>
      <c r="T293" s="258" t="str">
        <f t="shared" si="34"/>
        <v/>
      </c>
      <c r="U293" s="257" t="str">
        <f t="shared" si="35"/>
        <v/>
      </c>
      <c r="V293" s="257" t="str">
        <f t="shared" si="38"/>
        <v/>
      </c>
      <c r="W293" s="283" t="str">
        <f t="shared" si="36"/>
        <v/>
      </c>
      <c r="X293" s="253"/>
      <c r="Y293" s="253"/>
      <c r="Z293" s="253"/>
      <c r="AA293" s="253"/>
      <c r="AB293" s="253"/>
      <c r="AC293" s="253"/>
      <c r="AD293" s="253"/>
      <c r="AE293" s="253"/>
      <c r="AF293" s="253"/>
      <c r="AG293" s="253"/>
      <c r="AH293" s="253"/>
      <c r="AI293" s="253"/>
      <c r="AJ293" s="253"/>
      <c r="AK293" s="253"/>
      <c r="AL293" s="253"/>
      <c r="AM293" s="253"/>
      <c r="AN293" s="253"/>
      <c r="AO293" s="253"/>
      <c r="AP293" s="253"/>
      <c r="AQ293" s="253"/>
      <c r="AR293" s="253"/>
      <c r="AS293" s="253"/>
      <c r="AT293" s="253"/>
      <c r="AU293" s="253"/>
    </row>
    <row r="294" spans="9:47" x14ac:dyDescent="0.25">
      <c r="I294" s="83">
        <v>279</v>
      </c>
      <c r="J294" s="255" t="str">
        <f>IF(I294&lt;=MAX(Forest_data[Age]),I294,"")</f>
        <v/>
      </c>
      <c r="K294" s="256" t="str">
        <f>IF(ISNUMBER(J294),LOOKUP(J294, Forest_data[[#All],[Age]],Forest_data[[#All],[Number of trees per ha]]),"")</f>
        <v/>
      </c>
      <c r="L294" s="257" t="str">
        <f>IF(ISNUMBER(J294),IF(ISNA(VLOOKUP(J294,Forest_data[#All],3,FALSE)),#N/A, VLOOKUP(J294,Forest_data[#All],3,FALSE)),"")</f>
        <v/>
      </c>
      <c r="M294" s="257" t="str">
        <f>IF(ISNUMBER(J294),IF(ISNA(VLOOKUP(J294,Forest_data[#All],4,FALSE)),#N/A, VLOOKUP(J294,Forest_data[#All],4,FALSE)),"")</f>
        <v/>
      </c>
      <c r="N294" s="257" t="str">
        <f>IF(ISNUMBER(J294),IF(ISNA(VLOOKUP(J294,Forest_data[#All],5,FALSE)),#N/A, VLOOKUP(J294,Forest_data[#All],5,FALSE)),"")</f>
        <v/>
      </c>
      <c r="O294" s="257" t="str">
        <f>IF(ISNUMBER(J294),IF(ISNA(VLOOKUP(J294,Forest_data[#All],6,FALSE)),#N/A, VLOOKUP(J294,Forest_data[#All],6,FALSE)),"")</f>
        <v/>
      </c>
      <c r="P294" s="257" t="str">
        <f t="shared" si="39"/>
        <v/>
      </c>
      <c r="Q294" s="257" t="str">
        <f t="shared" si="32"/>
        <v/>
      </c>
      <c r="R294" s="257" t="str">
        <f t="shared" si="37"/>
        <v/>
      </c>
      <c r="S294" s="283" t="str">
        <f t="shared" si="33"/>
        <v/>
      </c>
      <c r="T294" s="258" t="str">
        <f t="shared" si="34"/>
        <v/>
      </c>
      <c r="U294" s="257" t="str">
        <f t="shared" si="35"/>
        <v/>
      </c>
      <c r="V294" s="257" t="str">
        <f t="shared" si="38"/>
        <v/>
      </c>
      <c r="W294" s="283" t="str">
        <f t="shared" si="36"/>
        <v/>
      </c>
      <c r="X294" s="253"/>
      <c r="Y294" s="253"/>
      <c r="Z294" s="253"/>
      <c r="AA294" s="253"/>
      <c r="AB294" s="253"/>
      <c r="AC294" s="253"/>
      <c r="AD294" s="253"/>
      <c r="AE294" s="253"/>
      <c r="AF294" s="253"/>
      <c r="AG294" s="253"/>
      <c r="AH294" s="253"/>
      <c r="AI294" s="253"/>
      <c r="AJ294" s="253"/>
      <c r="AK294" s="253"/>
      <c r="AL294" s="253"/>
      <c r="AM294" s="253"/>
      <c r="AN294" s="253"/>
      <c r="AO294" s="253"/>
      <c r="AP294" s="253"/>
      <c r="AQ294" s="253"/>
      <c r="AR294" s="253"/>
      <c r="AS294" s="253"/>
      <c r="AT294" s="253"/>
      <c r="AU294" s="253"/>
    </row>
    <row r="295" spans="9:47" x14ac:dyDescent="0.25">
      <c r="I295" s="83">
        <v>280</v>
      </c>
      <c r="J295" s="255" t="str">
        <f>IF(I295&lt;=MAX(Forest_data[Age]),I295,"")</f>
        <v/>
      </c>
      <c r="K295" s="256" t="str">
        <f>IF(ISNUMBER(J295),LOOKUP(J295, Forest_data[[#All],[Age]],Forest_data[[#All],[Number of trees per ha]]),"")</f>
        <v/>
      </c>
      <c r="L295" s="257" t="str">
        <f>IF(ISNUMBER(J295),IF(ISNA(VLOOKUP(J295,Forest_data[#All],3,FALSE)),#N/A, VLOOKUP(J295,Forest_data[#All],3,FALSE)),"")</f>
        <v/>
      </c>
      <c r="M295" s="257" t="str">
        <f>IF(ISNUMBER(J295),IF(ISNA(VLOOKUP(J295,Forest_data[#All],4,FALSE)),#N/A, VLOOKUP(J295,Forest_data[#All],4,FALSE)),"")</f>
        <v/>
      </c>
      <c r="N295" s="257" t="str">
        <f>IF(ISNUMBER(J295),IF(ISNA(VLOOKUP(J295,Forest_data[#All],5,FALSE)),#N/A, VLOOKUP(J295,Forest_data[#All],5,FALSE)),"")</f>
        <v/>
      </c>
      <c r="O295" s="257" t="str">
        <f>IF(ISNUMBER(J295),IF(ISNA(VLOOKUP(J295,Forest_data[#All],6,FALSE)),#N/A, VLOOKUP(J295,Forest_data[#All],6,FALSE)),"")</f>
        <v/>
      </c>
      <c r="P295" s="257" t="str">
        <f t="shared" si="39"/>
        <v/>
      </c>
      <c r="Q295" s="257" t="str">
        <f t="shared" si="32"/>
        <v/>
      </c>
      <c r="R295" s="257" t="str">
        <f t="shared" si="37"/>
        <v/>
      </c>
      <c r="S295" s="283" t="str">
        <f t="shared" si="33"/>
        <v/>
      </c>
      <c r="T295" s="258" t="str">
        <f t="shared" si="34"/>
        <v/>
      </c>
      <c r="U295" s="257" t="str">
        <f t="shared" si="35"/>
        <v/>
      </c>
      <c r="V295" s="257" t="str">
        <f t="shared" si="38"/>
        <v/>
      </c>
      <c r="W295" s="283" t="str">
        <f t="shared" si="36"/>
        <v/>
      </c>
      <c r="X295" s="253"/>
      <c r="Y295" s="253"/>
      <c r="Z295" s="253"/>
      <c r="AA295" s="253"/>
      <c r="AB295" s="253"/>
      <c r="AC295" s="253"/>
      <c r="AD295" s="253"/>
      <c r="AE295" s="253"/>
      <c r="AF295" s="253"/>
      <c r="AG295" s="253"/>
      <c r="AH295" s="253"/>
      <c r="AI295" s="253"/>
      <c r="AJ295" s="253"/>
      <c r="AK295" s="253"/>
      <c r="AL295" s="253"/>
      <c r="AM295" s="253"/>
      <c r="AN295" s="253"/>
      <c r="AO295" s="253"/>
      <c r="AP295" s="253"/>
      <c r="AQ295" s="253"/>
      <c r="AR295" s="253"/>
      <c r="AS295" s="253"/>
      <c r="AT295" s="253"/>
      <c r="AU295" s="253"/>
    </row>
    <row r="296" spans="9:47" x14ac:dyDescent="0.25">
      <c r="I296" s="260">
        <v>281</v>
      </c>
      <c r="J296" s="255" t="str">
        <f>IF(I296&lt;=MAX(Forest_data[Age]),I296,"")</f>
        <v/>
      </c>
      <c r="K296" s="256" t="str">
        <f>IF(ISNUMBER(J296),LOOKUP(J296, Forest_data[[#All],[Age]],Forest_data[[#All],[Number of trees per ha]]),"")</f>
        <v/>
      </c>
      <c r="L296" s="257" t="str">
        <f>IF(ISNUMBER(J296),IF(ISNA(VLOOKUP(J296,Forest_data[#All],3,FALSE)),#N/A, VLOOKUP(J296,Forest_data[#All],3,FALSE)),"")</f>
        <v/>
      </c>
      <c r="M296" s="257" t="str">
        <f>IF(ISNUMBER(J296),IF(ISNA(VLOOKUP(J296,Forest_data[#All],4,FALSE)),#N/A, VLOOKUP(J296,Forest_data[#All],4,FALSE)),"")</f>
        <v/>
      </c>
      <c r="N296" s="257" t="str">
        <f>IF(ISNUMBER(J296),IF(ISNA(VLOOKUP(J296,Forest_data[#All],5,FALSE)),#N/A, VLOOKUP(J296,Forest_data[#All],5,FALSE)),"")</f>
        <v/>
      </c>
      <c r="O296" s="257" t="str">
        <f>IF(ISNUMBER(J296),IF(ISNA(VLOOKUP(J296,Forest_data[#All],6,FALSE)),#N/A, VLOOKUP(J296,Forest_data[#All],6,FALSE)),"")</f>
        <v/>
      </c>
      <c r="P296" s="257" t="str">
        <f t="shared" si="39"/>
        <v/>
      </c>
      <c r="Q296" s="257" t="str">
        <f t="shared" si="32"/>
        <v/>
      </c>
      <c r="R296" s="257" t="str">
        <f t="shared" si="37"/>
        <v/>
      </c>
      <c r="S296" s="283" t="str">
        <f t="shared" si="33"/>
        <v/>
      </c>
      <c r="T296" s="258" t="str">
        <f t="shared" si="34"/>
        <v/>
      </c>
      <c r="U296" s="257" t="str">
        <f t="shared" si="35"/>
        <v/>
      </c>
      <c r="V296" s="257" t="str">
        <f t="shared" si="38"/>
        <v/>
      </c>
      <c r="W296" s="283" t="str">
        <f t="shared" si="36"/>
        <v/>
      </c>
      <c r="X296" s="253"/>
      <c r="Y296" s="253"/>
      <c r="Z296" s="253"/>
      <c r="AA296" s="253"/>
      <c r="AB296" s="253"/>
      <c r="AC296" s="253"/>
      <c r="AD296" s="253"/>
      <c r="AE296" s="253"/>
      <c r="AF296" s="253"/>
      <c r="AG296" s="253"/>
      <c r="AH296" s="253"/>
      <c r="AI296" s="253"/>
      <c r="AJ296" s="253"/>
      <c r="AK296" s="253"/>
      <c r="AL296" s="253"/>
      <c r="AM296" s="253"/>
      <c r="AN296" s="253"/>
      <c r="AO296" s="253"/>
      <c r="AP296" s="253"/>
      <c r="AQ296" s="253"/>
      <c r="AR296" s="253"/>
      <c r="AS296" s="253"/>
      <c r="AT296" s="253"/>
      <c r="AU296" s="253"/>
    </row>
    <row r="297" spans="9:47" x14ac:dyDescent="0.25">
      <c r="I297" s="83">
        <v>282</v>
      </c>
      <c r="J297" s="255" t="str">
        <f>IF(I297&lt;=MAX(Forest_data[Age]),I297,"")</f>
        <v/>
      </c>
      <c r="K297" s="256" t="str">
        <f>IF(ISNUMBER(J297),LOOKUP(J297, Forest_data[[#All],[Age]],Forest_data[[#All],[Number of trees per ha]]),"")</f>
        <v/>
      </c>
      <c r="L297" s="257" t="str">
        <f>IF(ISNUMBER(J297),IF(ISNA(VLOOKUP(J297,Forest_data[#All],3,FALSE)),#N/A, VLOOKUP(J297,Forest_data[#All],3,FALSE)),"")</f>
        <v/>
      </c>
      <c r="M297" s="257" t="str">
        <f>IF(ISNUMBER(J297),IF(ISNA(VLOOKUP(J297,Forest_data[#All],4,FALSE)),#N/A, VLOOKUP(J297,Forest_data[#All],4,FALSE)),"")</f>
        <v/>
      </c>
      <c r="N297" s="257" t="str">
        <f>IF(ISNUMBER(J297),IF(ISNA(VLOOKUP(J297,Forest_data[#All],5,FALSE)),#N/A, VLOOKUP(J297,Forest_data[#All],5,FALSE)),"")</f>
        <v/>
      </c>
      <c r="O297" s="257" t="str">
        <f>IF(ISNUMBER(J297),IF(ISNA(VLOOKUP(J297,Forest_data[#All],6,FALSE)),#N/A, VLOOKUP(J297,Forest_data[#All],6,FALSE)),"")</f>
        <v/>
      </c>
      <c r="P297" s="257" t="str">
        <f t="shared" si="39"/>
        <v/>
      </c>
      <c r="Q297" s="257" t="str">
        <f t="shared" si="32"/>
        <v/>
      </c>
      <c r="R297" s="257" t="str">
        <f t="shared" si="37"/>
        <v/>
      </c>
      <c r="S297" s="283" t="str">
        <f t="shared" si="33"/>
        <v/>
      </c>
      <c r="T297" s="258" t="str">
        <f t="shared" si="34"/>
        <v/>
      </c>
      <c r="U297" s="257" t="str">
        <f t="shared" si="35"/>
        <v/>
      </c>
      <c r="V297" s="257" t="str">
        <f t="shared" si="38"/>
        <v/>
      </c>
      <c r="W297" s="283" t="str">
        <f t="shared" si="36"/>
        <v/>
      </c>
      <c r="X297" s="253"/>
      <c r="Y297" s="253"/>
      <c r="Z297" s="253"/>
      <c r="AA297" s="253"/>
      <c r="AB297" s="253"/>
      <c r="AC297" s="253"/>
      <c r="AD297" s="253"/>
      <c r="AE297" s="253"/>
      <c r="AF297" s="253"/>
      <c r="AG297" s="253"/>
      <c r="AH297" s="253"/>
      <c r="AI297" s="253"/>
      <c r="AJ297" s="253"/>
      <c r="AK297" s="253"/>
      <c r="AL297" s="253"/>
      <c r="AM297" s="253"/>
      <c r="AN297" s="253"/>
      <c r="AO297" s="253"/>
      <c r="AP297" s="253"/>
      <c r="AQ297" s="253"/>
      <c r="AR297" s="253"/>
      <c r="AS297" s="253"/>
      <c r="AT297" s="253"/>
      <c r="AU297" s="253"/>
    </row>
    <row r="298" spans="9:47" x14ac:dyDescent="0.25">
      <c r="I298" s="83">
        <v>283</v>
      </c>
      <c r="J298" s="255" t="str">
        <f>IF(I298&lt;=MAX(Forest_data[Age]),I298,"")</f>
        <v/>
      </c>
      <c r="K298" s="256" t="str">
        <f>IF(ISNUMBER(J298),LOOKUP(J298, Forest_data[[#All],[Age]],Forest_data[[#All],[Number of trees per ha]]),"")</f>
        <v/>
      </c>
      <c r="L298" s="257" t="str">
        <f>IF(ISNUMBER(J298),IF(ISNA(VLOOKUP(J298,Forest_data[#All],3,FALSE)),#N/A, VLOOKUP(J298,Forest_data[#All],3,FALSE)),"")</f>
        <v/>
      </c>
      <c r="M298" s="257" t="str">
        <f>IF(ISNUMBER(J298),IF(ISNA(VLOOKUP(J298,Forest_data[#All],4,FALSE)),#N/A, VLOOKUP(J298,Forest_data[#All],4,FALSE)),"")</f>
        <v/>
      </c>
      <c r="N298" s="257" t="str">
        <f>IF(ISNUMBER(J298),IF(ISNA(VLOOKUP(J298,Forest_data[#All],5,FALSE)),#N/A, VLOOKUP(J298,Forest_data[#All],5,FALSE)),"")</f>
        <v/>
      </c>
      <c r="O298" s="257" t="str">
        <f>IF(ISNUMBER(J298),IF(ISNA(VLOOKUP(J298,Forest_data[#All],6,FALSE)),#N/A, VLOOKUP(J298,Forest_data[#All],6,FALSE)),"")</f>
        <v/>
      </c>
      <c r="P298" s="257" t="str">
        <f t="shared" si="39"/>
        <v/>
      </c>
      <c r="Q298" s="257" t="str">
        <f t="shared" si="32"/>
        <v/>
      </c>
      <c r="R298" s="257" t="str">
        <f t="shared" si="37"/>
        <v/>
      </c>
      <c r="S298" s="283" t="str">
        <f t="shared" si="33"/>
        <v/>
      </c>
      <c r="T298" s="258" t="str">
        <f t="shared" si="34"/>
        <v/>
      </c>
      <c r="U298" s="257" t="str">
        <f t="shared" si="35"/>
        <v/>
      </c>
      <c r="V298" s="257" t="str">
        <f t="shared" si="38"/>
        <v/>
      </c>
      <c r="W298" s="283" t="str">
        <f t="shared" si="36"/>
        <v/>
      </c>
      <c r="X298" s="253"/>
      <c r="Y298" s="253"/>
      <c r="Z298" s="253"/>
      <c r="AA298" s="253"/>
      <c r="AB298" s="253"/>
      <c r="AC298" s="253"/>
      <c r="AD298" s="253"/>
      <c r="AE298" s="253"/>
      <c r="AF298" s="253"/>
      <c r="AG298" s="253"/>
      <c r="AH298" s="253"/>
      <c r="AI298" s="253"/>
      <c r="AJ298" s="253"/>
      <c r="AK298" s="253"/>
      <c r="AL298" s="253"/>
      <c r="AM298" s="253"/>
      <c r="AN298" s="253"/>
      <c r="AO298" s="253"/>
      <c r="AP298" s="253"/>
      <c r="AQ298" s="253"/>
      <c r="AR298" s="253"/>
      <c r="AS298" s="253"/>
      <c r="AT298" s="253"/>
      <c r="AU298" s="253"/>
    </row>
    <row r="299" spans="9:47" x14ac:dyDescent="0.25">
      <c r="I299" s="83">
        <v>284</v>
      </c>
      <c r="J299" s="255" t="str">
        <f>IF(I299&lt;=MAX(Forest_data[Age]),I299,"")</f>
        <v/>
      </c>
      <c r="K299" s="256" t="str">
        <f>IF(ISNUMBER(J299),LOOKUP(J299, Forest_data[[#All],[Age]],Forest_data[[#All],[Number of trees per ha]]),"")</f>
        <v/>
      </c>
      <c r="L299" s="257" t="str">
        <f>IF(ISNUMBER(J299),IF(ISNA(VLOOKUP(J299,Forest_data[#All],3,FALSE)),#N/A, VLOOKUP(J299,Forest_data[#All],3,FALSE)),"")</f>
        <v/>
      </c>
      <c r="M299" s="257" t="str">
        <f>IF(ISNUMBER(J299),IF(ISNA(VLOOKUP(J299,Forest_data[#All],4,FALSE)),#N/A, VLOOKUP(J299,Forest_data[#All],4,FALSE)),"")</f>
        <v/>
      </c>
      <c r="N299" s="257" t="str">
        <f>IF(ISNUMBER(J299),IF(ISNA(VLOOKUP(J299,Forest_data[#All],5,FALSE)),#N/A, VLOOKUP(J299,Forest_data[#All],5,FALSE)),"")</f>
        <v/>
      </c>
      <c r="O299" s="257" t="str">
        <f>IF(ISNUMBER(J299),IF(ISNA(VLOOKUP(J299,Forest_data[#All],6,FALSE)),#N/A, VLOOKUP(J299,Forest_data[#All],6,FALSE)),"")</f>
        <v/>
      </c>
      <c r="P299" s="257" t="str">
        <f t="shared" si="39"/>
        <v/>
      </c>
      <c r="Q299" s="257" t="str">
        <f t="shared" si="32"/>
        <v/>
      </c>
      <c r="R299" s="257" t="str">
        <f t="shared" si="37"/>
        <v/>
      </c>
      <c r="S299" s="283" t="str">
        <f t="shared" si="33"/>
        <v/>
      </c>
      <c r="T299" s="258" t="str">
        <f t="shared" si="34"/>
        <v/>
      </c>
      <c r="U299" s="257" t="str">
        <f t="shared" si="35"/>
        <v/>
      </c>
      <c r="V299" s="257" t="str">
        <f t="shared" si="38"/>
        <v/>
      </c>
      <c r="W299" s="283" t="str">
        <f t="shared" si="36"/>
        <v/>
      </c>
      <c r="X299" s="253"/>
      <c r="Y299" s="253"/>
      <c r="Z299" s="253"/>
      <c r="AA299" s="253"/>
      <c r="AB299" s="253"/>
      <c r="AC299" s="253"/>
      <c r="AD299" s="253"/>
      <c r="AE299" s="253"/>
      <c r="AF299" s="253"/>
      <c r="AG299" s="253"/>
      <c r="AH299" s="253"/>
      <c r="AI299" s="253"/>
      <c r="AJ299" s="253"/>
      <c r="AK299" s="253"/>
      <c r="AL299" s="253"/>
      <c r="AM299" s="253"/>
      <c r="AN299" s="253"/>
      <c r="AO299" s="253"/>
      <c r="AP299" s="253"/>
      <c r="AQ299" s="253"/>
      <c r="AR299" s="253"/>
      <c r="AS299" s="253"/>
      <c r="AT299" s="253"/>
      <c r="AU299" s="253"/>
    </row>
    <row r="300" spans="9:47" x14ac:dyDescent="0.25">
      <c r="I300" s="260">
        <v>285</v>
      </c>
      <c r="J300" s="255" t="str">
        <f>IF(I300&lt;=MAX(Forest_data[Age]),I300,"")</f>
        <v/>
      </c>
      <c r="K300" s="256" t="str">
        <f>IF(ISNUMBER(J300),LOOKUP(J300, Forest_data[[#All],[Age]],Forest_data[[#All],[Number of trees per ha]]),"")</f>
        <v/>
      </c>
      <c r="L300" s="257" t="str">
        <f>IF(ISNUMBER(J300),IF(ISNA(VLOOKUP(J300,Forest_data[#All],3,FALSE)),#N/A, VLOOKUP(J300,Forest_data[#All],3,FALSE)),"")</f>
        <v/>
      </c>
      <c r="M300" s="257" t="str">
        <f>IF(ISNUMBER(J300),IF(ISNA(VLOOKUP(J300,Forest_data[#All],4,FALSE)),#N/A, VLOOKUP(J300,Forest_data[#All],4,FALSE)),"")</f>
        <v/>
      </c>
      <c r="N300" s="257" t="str">
        <f>IF(ISNUMBER(J300),IF(ISNA(VLOOKUP(J300,Forest_data[#All],5,FALSE)),#N/A, VLOOKUP(J300,Forest_data[#All],5,FALSE)),"")</f>
        <v/>
      </c>
      <c r="O300" s="257" t="str">
        <f>IF(ISNUMBER(J300),IF(ISNA(VLOOKUP(J300,Forest_data[#All],6,FALSE)),#N/A, VLOOKUP(J300,Forest_data[#All],6,FALSE)),"")</f>
        <v/>
      </c>
      <c r="P300" s="257" t="str">
        <f t="shared" si="39"/>
        <v/>
      </c>
      <c r="Q300" s="257" t="str">
        <f t="shared" si="32"/>
        <v/>
      </c>
      <c r="R300" s="257" t="str">
        <f t="shared" si="37"/>
        <v/>
      </c>
      <c r="S300" s="283" t="str">
        <f t="shared" si="33"/>
        <v/>
      </c>
      <c r="T300" s="258" t="str">
        <f t="shared" si="34"/>
        <v/>
      </c>
      <c r="U300" s="257" t="str">
        <f t="shared" si="35"/>
        <v/>
      </c>
      <c r="V300" s="257" t="str">
        <f t="shared" si="38"/>
        <v/>
      </c>
      <c r="W300" s="283" t="str">
        <f t="shared" si="36"/>
        <v/>
      </c>
      <c r="X300" s="253"/>
      <c r="Y300" s="253"/>
      <c r="Z300" s="253"/>
      <c r="AA300" s="253"/>
      <c r="AB300" s="253"/>
      <c r="AC300" s="253"/>
      <c r="AD300" s="253"/>
      <c r="AE300" s="253"/>
      <c r="AF300" s="253"/>
      <c r="AG300" s="253"/>
      <c r="AH300" s="253"/>
      <c r="AI300" s="253"/>
      <c r="AJ300" s="253"/>
      <c r="AK300" s="253"/>
      <c r="AL300" s="253"/>
      <c r="AM300" s="253"/>
      <c r="AN300" s="253"/>
      <c r="AO300" s="253"/>
      <c r="AP300" s="253"/>
      <c r="AQ300" s="253"/>
      <c r="AR300" s="253"/>
      <c r="AS300" s="253"/>
      <c r="AT300" s="253"/>
      <c r="AU300" s="253"/>
    </row>
    <row r="301" spans="9:47" x14ac:dyDescent="0.25">
      <c r="I301" s="83">
        <v>286</v>
      </c>
      <c r="J301" s="255" t="str">
        <f>IF(I301&lt;=MAX(Forest_data[Age]),I301,"")</f>
        <v/>
      </c>
      <c r="K301" s="256" t="str">
        <f>IF(ISNUMBER(J301),LOOKUP(J301, Forest_data[[#All],[Age]],Forest_data[[#All],[Number of trees per ha]]),"")</f>
        <v/>
      </c>
      <c r="L301" s="257" t="str">
        <f>IF(ISNUMBER(J301),IF(ISNA(VLOOKUP(J301,Forest_data[#All],3,FALSE)),#N/A, VLOOKUP(J301,Forest_data[#All],3,FALSE)),"")</f>
        <v/>
      </c>
      <c r="M301" s="257" t="str">
        <f>IF(ISNUMBER(J301),IF(ISNA(VLOOKUP(J301,Forest_data[#All],4,FALSE)),#N/A, VLOOKUP(J301,Forest_data[#All],4,FALSE)),"")</f>
        <v/>
      </c>
      <c r="N301" s="257" t="str">
        <f>IF(ISNUMBER(J301),IF(ISNA(VLOOKUP(J301,Forest_data[#All],5,FALSE)),#N/A, VLOOKUP(J301,Forest_data[#All],5,FALSE)),"")</f>
        <v/>
      </c>
      <c r="O301" s="257" t="str">
        <f>IF(ISNUMBER(J301),IF(ISNA(VLOOKUP(J301,Forest_data[#All],6,FALSE)),#N/A, VLOOKUP(J301,Forest_data[#All],6,FALSE)),"")</f>
        <v/>
      </c>
      <c r="P301" s="257" t="str">
        <f t="shared" si="39"/>
        <v/>
      </c>
      <c r="Q301" s="257" t="str">
        <f t="shared" si="32"/>
        <v/>
      </c>
      <c r="R301" s="257" t="str">
        <f t="shared" si="37"/>
        <v/>
      </c>
      <c r="S301" s="283" t="str">
        <f t="shared" si="33"/>
        <v/>
      </c>
      <c r="T301" s="258" t="str">
        <f t="shared" si="34"/>
        <v/>
      </c>
      <c r="U301" s="257" t="str">
        <f t="shared" si="35"/>
        <v/>
      </c>
      <c r="V301" s="257" t="str">
        <f t="shared" si="38"/>
        <v/>
      </c>
      <c r="W301" s="283" t="str">
        <f t="shared" si="36"/>
        <v/>
      </c>
      <c r="X301" s="253"/>
      <c r="Y301" s="253"/>
      <c r="Z301" s="253"/>
      <c r="AA301" s="253"/>
      <c r="AB301" s="253"/>
      <c r="AC301" s="253"/>
      <c r="AD301" s="253"/>
      <c r="AE301" s="253"/>
      <c r="AF301" s="253"/>
      <c r="AG301" s="253"/>
      <c r="AH301" s="253"/>
      <c r="AI301" s="253"/>
      <c r="AJ301" s="253"/>
      <c r="AK301" s="253"/>
      <c r="AL301" s="253"/>
      <c r="AM301" s="253"/>
      <c r="AN301" s="253"/>
      <c r="AO301" s="253"/>
      <c r="AP301" s="253"/>
      <c r="AQ301" s="253"/>
      <c r="AR301" s="253"/>
      <c r="AS301" s="253"/>
      <c r="AT301" s="253"/>
      <c r="AU301" s="253"/>
    </row>
    <row r="302" spans="9:47" x14ac:dyDescent="0.25">
      <c r="I302" s="83">
        <v>287</v>
      </c>
      <c r="J302" s="255" t="str">
        <f>IF(I302&lt;=MAX(Forest_data[Age]),I302,"")</f>
        <v/>
      </c>
      <c r="K302" s="256" t="str">
        <f>IF(ISNUMBER(J302),LOOKUP(J302, Forest_data[[#All],[Age]],Forest_data[[#All],[Number of trees per ha]]),"")</f>
        <v/>
      </c>
      <c r="L302" s="257" t="str">
        <f>IF(ISNUMBER(J302),IF(ISNA(VLOOKUP(J302,Forest_data[#All],3,FALSE)),#N/A, VLOOKUP(J302,Forest_data[#All],3,FALSE)),"")</f>
        <v/>
      </c>
      <c r="M302" s="257" t="str">
        <f>IF(ISNUMBER(J302),IF(ISNA(VLOOKUP(J302,Forest_data[#All],4,FALSE)),#N/A, VLOOKUP(J302,Forest_data[#All],4,FALSE)),"")</f>
        <v/>
      </c>
      <c r="N302" s="257" t="str">
        <f>IF(ISNUMBER(J302),IF(ISNA(VLOOKUP(J302,Forest_data[#All],5,FALSE)),#N/A, VLOOKUP(J302,Forest_data[#All],5,FALSE)),"")</f>
        <v/>
      </c>
      <c r="O302" s="257" t="str">
        <f>IF(ISNUMBER(J302),IF(ISNA(VLOOKUP(J302,Forest_data[#All],6,FALSE)),#N/A, VLOOKUP(J302,Forest_data[#All],6,FALSE)),"")</f>
        <v/>
      </c>
      <c r="P302" s="257" t="str">
        <f t="shared" si="39"/>
        <v/>
      </c>
      <c r="Q302" s="257" t="str">
        <f t="shared" si="32"/>
        <v/>
      </c>
      <c r="R302" s="257" t="str">
        <f t="shared" si="37"/>
        <v/>
      </c>
      <c r="S302" s="283" t="str">
        <f t="shared" si="33"/>
        <v/>
      </c>
      <c r="T302" s="258" t="str">
        <f t="shared" si="34"/>
        <v/>
      </c>
      <c r="U302" s="257" t="str">
        <f t="shared" si="35"/>
        <v/>
      </c>
      <c r="V302" s="257" t="str">
        <f t="shared" si="38"/>
        <v/>
      </c>
      <c r="W302" s="283" t="str">
        <f t="shared" si="36"/>
        <v/>
      </c>
      <c r="X302" s="253"/>
      <c r="Y302" s="253"/>
      <c r="Z302" s="253"/>
      <c r="AA302" s="253"/>
      <c r="AB302" s="253"/>
      <c r="AC302" s="253"/>
      <c r="AD302" s="253"/>
      <c r="AE302" s="253"/>
      <c r="AF302" s="253"/>
      <c r="AG302" s="253"/>
      <c r="AH302" s="253"/>
      <c r="AI302" s="253"/>
      <c r="AJ302" s="253"/>
      <c r="AK302" s="253"/>
      <c r="AL302" s="253"/>
      <c r="AM302" s="253"/>
      <c r="AN302" s="253"/>
      <c r="AO302" s="253"/>
      <c r="AP302" s="253"/>
      <c r="AQ302" s="253"/>
      <c r="AR302" s="253"/>
      <c r="AS302" s="253"/>
      <c r="AT302" s="253"/>
      <c r="AU302" s="253"/>
    </row>
    <row r="303" spans="9:47" x14ac:dyDescent="0.25">
      <c r="I303" s="83">
        <v>288</v>
      </c>
      <c r="J303" s="255" t="str">
        <f>IF(I303&lt;=MAX(Forest_data[Age]),I303,"")</f>
        <v/>
      </c>
      <c r="K303" s="256" t="str">
        <f>IF(ISNUMBER(J303),LOOKUP(J303, Forest_data[[#All],[Age]],Forest_data[[#All],[Number of trees per ha]]),"")</f>
        <v/>
      </c>
      <c r="L303" s="257" t="str">
        <f>IF(ISNUMBER(J303),IF(ISNA(VLOOKUP(J303,Forest_data[#All],3,FALSE)),#N/A, VLOOKUP(J303,Forest_data[#All],3,FALSE)),"")</f>
        <v/>
      </c>
      <c r="M303" s="257" t="str">
        <f>IF(ISNUMBER(J303),IF(ISNA(VLOOKUP(J303,Forest_data[#All],4,FALSE)),#N/A, VLOOKUP(J303,Forest_data[#All],4,FALSE)),"")</f>
        <v/>
      </c>
      <c r="N303" s="257" t="str">
        <f>IF(ISNUMBER(J303),IF(ISNA(VLOOKUP(J303,Forest_data[#All],5,FALSE)),#N/A, VLOOKUP(J303,Forest_data[#All],5,FALSE)),"")</f>
        <v/>
      </c>
      <c r="O303" s="257" t="str">
        <f>IF(ISNUMBER(J303),IF(ISNA(VLOOKUP(J303,Forest_data[#All],6,FALSE)),#N/A, VLOOKUP(J303,Forest_data[#All],6,FALSE)),"")</f>
        <v/>
      </c>
      <c r="P303" s="257" t="str">
        <f t="shared" si="39"/>
        <v/>
      </c>
      <c r="Q303" s="257" t="str">
        <f t="shared" si="32"/>
        <v/>
      </c>
      <c r="R303" s="257" t="str">
        <f t="shared" si="37"/>
        <v/>
      </c>
      <c r="S303" s="283" t="str">
        <f t="shared" si="33"/>
        <v/>
      </c>
      <c r="T303" s="258" t="str">
        <f t="shared" si="34"/>
        <v/>
      </c>
      <c r="U303" s="257" t="str">
        <f t="shared" si="35"/>
        <v/>
      </c>
      <c r="V303" s="257" t="str">
        <f t="shared" si="38"/>
        <v/>
      </c>
      <c r="W303" s="283" t="str">
        <f t="shared" si="36"/>
        <v/>
      </c>
      <c r="X303" s="253"/>
      <c r="Y303" s="253"/>
      <c r="Z303" s="253"/>
      <c r="AA303" s="253"/>
      <c r="AB303" s="253"/>
      <c r="AC303" s="253"/>
      <c r="AD303" s="253"/>
      <c r="AE303" s="253"/>
      <c r="AF303" s="253"/>
      <c r="AG303" s="253"/>
      <c r="AH303" s="253"/>
      <c r="AI303" s="253"/>
      <c r="AJ303" s="253"/>
      <c r="AK303" s="253"/>
      <c r="AL303" s="253"/>
      <c r="AM303" s="253"/>
      <c r="AN303" s="253"/>
      <c r="AO303" s="253"/>
      <c r="AP303" s="253"/>
      <c r="AQ303" s="253"/>
      <c r="AR303" s="253"/>
      <c r="AS303" s="253"/>
      <c r="AT303" s="253"/>
      <c r="AU303" s="253"/>
    </row>
    <row r="304" spans="9:47" x14ac:dyDescent="0.25">
      <c r="I304" s="260">
        <v>289</v>
      </c>
      <c r="J304" s="255" t="str">
        <f>IF(I304&lt;=MAX(Forest_data[Age]),I304,"")</f>
        <v/>
      </c>
      <c r="K304" s="256" t="str">
        <f>IF(ISNUMBER(J304),LOOKUP(J304, Forest_data[[#All],[Age]],Forest_data[[#All],[Number of trees per ha]]),"")</f>
        <v/>
      </c>
      <c r="L304" s="257" t="str">
        <f>IF(ISNUMBER(J304),IF(ISNA(VLOOKUP(J304,Forest_data[#All],3,FALSE)),#N/A, VLOOKUP(J304,Forest_data[#All],3,FALSE)),"")</f>
        <v/>
      </c>
      <c r="M304" s="257" t="str">
        <f>IF(ISNUMBER(J304),IF(ISNA(VLOOKUP(J304,Forest_data[#All],4,FALSE)),#N/A, VLOOKUP(J304,Forest_data[#All],4,FALSE)),"")</f>
        <v/>
      </c>
      <c r="N304" s="257" t="str">
        <f>IF(ISNUMBER(J304),IF(ISNA(VLOOKUP(J304,Forest_data[#All],5,FALSE)),#N/A, VLOOKUP(J304,Forest_data[#All],5,FALSE)),"")</f>
        <v/>
      </c>
      <c r="O304" s="257" t="str">
        <f>IF(ISNUMBER(J304),IF(ISNA(VLOOKUP(J304,Forest_data[#All],6,FALSE)),#N/A, VLOOKUP(J304,Forest_data[#All],6,FALSE)),"")</f>
        <v/>
      </c>
      <c r="P304" s="257" t="str">
        <f t="shared" si="39"/>
        <v/>
      </c>
      <c r="Q304" s="257" t="str">
        <f t="shared" si="32"/>
        <v/>
      </c>
      <c r="R304" s="257" t="str">
        <f t="shared" si="37"/>
        <v/>
      </c>
      <c r="S304" s="283" t="str">
        <f t="shared" si="33"/>
        <v/>
      </c>
      <c r="T304" s="258" t="str">
        <f t="shared" si="34"/>
        <v/>
      </c>
      <c r="U304" s="257" t="str">
        <f t="shared" si="35"/>
        <v/>
      </c>
      <c r="V304" s="257" t="str">
        <f t="shared" si="38"/>
        <v/>
      </c>
      <c r="W304" s="283" t="str">
        <f t="shared" si="36"/>
        <v/>
      </c>
      <c r="X304" s="253"/>
      <c r="Y304" s="253"/>
      <c r="Z304" s="253"/>
      <c r="AA304" s="253"/>
      <c r="AB304" s="253"/>
      <c r="AC304" s="253"/>
      <c r="AD304" s="253"/>
      <c r="AE304" s="253"/>
      <c r="AF304" s="253"/>
      <c r="AG304" s="253"/>
      <c r="AH304" s="253"/>
      <c r="AI304" s="253"/>
      <c r="AJ304" s="253"/>
      <c r="AK304" s="253"/>
      <c r="AL304" s="253"/>
      <c r="AM304" s="253"/>
      <c r="AN304" s="253"/>
      <c r="AO304" s="253"/>
      <c r="AP304" s="253"/>
      <c r="AQ304" s="253"/>
      <c r="AR304" s="253"/>
      <c r="AS304" s="253"/>
      <c r="AT304" s="253"/>
      <c r="AU304" s="253"/>
    </row>
    <row r="305" spans="9:47" x14ac:dyDescent="0.25">
      <c r="I305" s="83">
        <v>290</v>
      </c>
      <c r="J305" s="255" t="str">
        <f>IF(I305&lt;=MAX(Forest_data[Age]),I305,"")</f>
        <v/>
      </c>
      <c r="K305" s="256" t="str">
        <f>IF(ISNUMBER(J305),LOOKUP(J305, Forest_data[[#All],[Age]],Forest_data[[#All],[Number of trees per ha]]),"")</f>
        <v/>
      </c>
      <c r="L305" s="257" t="str">
        <f>IF(ISNUMBER(J305),IF(ISNA(VLOOKUP(J305,Forest_data[#All],3,FALSE)),#N/A, VLOOKUP(J305,Forest_data[#All],3,FALSE)),"")</f>
        <v/>
      </c>
      <c r="M305" s="257" t="str">
        <f>IF(ISNUMBER(J305),IF(ISNA(VLOOKUP(J305,Forest_data[#All],4,FALSE)),#N/A, VLOOKUP(J305,Forest_data[#All],4,FALSE)),"")</f>
        <v/>
      </c>
      <c r="N305" s="257" t="str">
        <f>IF(ISNUMBER(J305),IF(ISNA(VLOOKUP(J305,Forest_data[#All],5,FALSE)),#N/A, VLOOKUP(J305,Forest_data[#All],5,FALSE)),"")</f>
        <v/>
      </c>
      <c r="O305" s="257" t="str">
        <f>IF(ISNUMBER(J305),IF(ISNA(VLOOKUP(J305,Forest_data[#All],6,FALSE)),#N/A, VLOOKUP(J305,Forest_data[#All],6,FALSE)),"")</f>
        <v/>
      </c>
      <c r="P305" s="257" t="str">
        <f t="shared" si="39"/>
        <v/>
      </c>
      <c r="Q305" s="257" t="str">
        <f t="shared" si="32"/>
        <v/>
      </c>
      <c r="R305" s="257" t="str">
        <f t="shared" si="37"/>
        <v/>
      </c>
      <c r="S305" s="283" t="str">
        <f t="shared" si="33"/>
        <v/>
      </c>
      <c r="T305" s="258" t="str">
        <f t="shared" si="34"/>
        <v/>
      </c>
      <c r="U305" s="257" t="str">
        <f t="shared" si="35"/>
        <v/>
      </c>
      <c r="V305" s="257" t="str">
        <f t="shared" si="38"/>
        <v/>
      </c>
      <c r="W305" s="283" t="str">
        <f t="shared" si="36"/>
        <v/>
      </c>
      <c r="X305" s="253"/>
      <c r="Y305" s="253"/>
      <c r="Z305" s="253"/>
      <c r="AA305" s="253"/>
      <c r="AB305" s="253"/>
      <c r="AC305" s="253"/>
      <c r="AD305" s="253"/>
      <c r="AE305" s="253"/>
      <c r="AF305" s="253"/>
      <c r="AG305" s="253"/>
      <c r="AH305" s="253"/>
      <c r="AI305" s="253"/>
      <c r="AJ305" s="253"/>
      <c r="AK305" s="253"/>
      <c r="AL305" s="253"/>
      <c r="AM305" s="253"/>
      <c r="AN305" s="253"/>
      <c r="AO305" s="253"/>
      <c r="AP305" s="253"/>
      <c r="AQ305" s="253"/>
      <c r="AR305" s="253"/>
      <c r="AS305" s="253"/>
      <c r="AT305" s="253"/>
      <c r="AU305" s="253"/>
    </row>
    <row r="306" spans="9:47" x14ac:dyDescent="0.25">
      <c r="I306" s="83">
        <v>291</v>
      </c>
      <c r="J306" s="255" t="str">
        <f>IF(I306&lt;=MAX(Forest_data[Age]),I306,"")</f>
        <v/>
      </c>
      <c r="K306" s="256" t="str">
        <f>IF(ISNUMBER(J306),LOOKUP(J306, Forest_data[[#All],[Age]],Forest_data[[#All],[Number of trees per ha]]),"")</f>
        <v/>
      </c>
      <c r="L306" s="257" t="str">
        <f>IF(ISNUMBER(J306),IF(ISNA(VLOOKUP(J306,Forest_data[#All],3,FALSE)),#N/A, VLOOKUP(J306,Forest_data[#All],3,FALSE)),"")</f>
        <v/>
      </c>
      <c r="M306" s="257" t="str">
        <f>IF(ISNUMBER(J306),IF(ISNA(VLOOKUP(J306,Forest_data[#All],4,FALSE)),#N/A, VLOOKUP(J306,Forest_data[#All],4,FALSE)),"")</f>
        <v/>
      </c>
      <c r="N306" s="257" t="str">
        <f>IF(ISNUMBER(J306),IF(ISNA(VLOOKUP(J306,Forest_data[#All],5,FALSE)),#N/A, VLOOKUP(J306,Forest_data[#All],5,FALSE)),"")</f>
        <v/>
      </c>
      <c r="O306" s="257" t="str">
        <f>IF(ISNUMBER(J306),IF(ISNA(VLOOKUP(J306,Forest_data[#All],6,FALSE)),#N/A, VLOOKUP(J306,Forest_data[#All],6,FALSE)),"")</f>
        <v/>
      </c>
      <c r="P306" s="257" t="str">
        <f t="shared" si="39"/>
        <v/>
      </c>
      <c r="Q306" s="257" t="str">
        <f t="shared" si="32"/>
        <v/>
      </c>
      <c r="R306" s="257" t="str">
        <f t="shared" si="37"/>
        <v/>
      </c>
      <c r="S306" s="283" t="str">
        <f t="shared" si="33"/>
        <v/>
      </c>
      <c r="T306" s="258" t="str">
        <f t="shared" si="34"/>
        <v/>
      </c>
      <c r="U306" s="257" t="str">
        <f t="shared" si="35"/>
        <v/>
      </c>
      <c r="V306" s="257" t="str">
        <f t="shared" si="38"/>
        <v/>
      </c>
      <c r="W306" s="283" t="str">
        <f t="shared" si="36"/>
        <v/>
      </c>
      <c r="X306" s="253"/>
      <c r="Y306" s="253"/>
      <c r="Z306" s="253"/>
      <c r="AA306" s="253"/>
      <c r="AB306" s="253"/>
      <c r="AC306" s="253"/>
      <c r="AD306" s="253"/>
      <c r="AE306" s="253"/>
      <c r="AF306" s="253"/>
      <c r="AG306" s="253"/>
      <c r="AH306" s="253"/>
      <c r="AI306" s="253"/>
      <c r="AJ306" s="253"/>
      <c r="AK306" s="253"/>
      <c r="AL306" s="253"/>
      <c r="AM306" s="253"/>
      <c r="AN306" s="253"/>
      <c r="AO306" s="253"/>
      <c r="AP306" s="253"/>
      <c r="AQ306" s="253"/>
      <c r="AR306" s="253"/>
      <c r="AS306" s="253"/>
      <c r="AT306" s="253"/>
      <c r="AU306" s="253"/>
    </row>
    <row r="307" spans="9:47" x14ac:dyDescent="0.25">
      <c r="I307" s="83">
        <v>292</v>
      </c>
      <c r="J307" s="255" t="str">
        <f>IF(I307&lt;=MAX(Forest_data[Age]),I307,"")</f>
        <v/>
      </c>
      <c r="K307" s="256" t="str">
        <f>IF(ISNUMBER(J307),LOOKUP(J307, Forest_data[[#All],[Age]],Forest_data[[#All],[Number of trees per ha]]),"")</f>
        <v/>
      </c>
      <c r="L307" s="257" t="str">
        <f>IF(ISNUMBER(J307),IF(ISNA(VLOOKUP(J307,Forest_data[#All],3,FALSE)),#N/A, VLOOKUP(J307,Forest_data[#All],3,FALSE)),"")</f>
        <v/>
      </c>
      <c r="M307" s="257" t="str">
        <f>IF(ISNUMBER(J307),IF(ISNA(VLOOKUP(J307,Forest_data[#All],4,FALSE)),#N/A, VLOOKUP(J307,Forest_data[#All],4,FALSE)),"")</f>
        <v/>
      </c>
      <c r="N307" s="257" t="str">
        <f>IF(ISNUMBER(J307),IF(ISNA(VLOOKUP(J307,Forest_data[#All],5,FALSE)),#N/A, VLOOKUP(J307,Forest_data[#All],5,FALSE)),"")</f>
        <v/>
      </c>
      <c r="O307" s="257" t="str">
        <f>IF(ISNUMBER(J307),IF(ISNA(VLOOKUP(J307,Forest_data[#All],6,FALSE)),#N/A, VLOOKUP(J307,Forest_data[#All],6,FALSE)),"")</f>
        <v/>
      </c>
      <c r="P307" s="257" t="str">
        <f t="shared" si="39"/>
        <v/>
      </c>
      <c r="Q307" s="257" t="str">
        <f t="shared" si="32"/>
        <v/>
      </c>
      <c r="R307" s="257" t="str">
        <f t="shared" si="37"/>
        <v/>
      </c>
      <c r="S307" s="283" t="str">
        <f t="shared" si="33"/>
        <v/>
      </c>
      <c r="T307" s="258" t="str">
        <f t="shared" si="34"/>
        <v/>
      </c>
      <c r="U307" s="257" t="str">
        <f t="shared" si="35"/>
        <v/>
      </c>
      <c r="V307" s="257" t="str">
        <f t="shared" si="38"/>
        <v/>
      </c>
      <c r="W307" s="283" t="str">
        <f t="shared" si="36"/>
        <v/>
      </c>
      <c r="X307" s="253"/>
      <c r="Y307" s="253"/>
      <c r="Z307" s="253"/>
      <c r="AA307" s="253"/>
      <c r="AB307" s="253"/>
      <c r="AC307" s="253"/>
      <c r="AD307" s="253"/>
      <c r="AE307" s="253"/>
      <c r="AF307" s="253"/>
      <c r="AG307" s="253"/>
      <c r="AH307" s="253"/>
      <c r="AI307" s="253"/>
      <c r="AJ307" s="253"/>
      <c r="AK307" s="253"/>
      <c r="AL307" s="253"/>
      <c r="AM307" s="253"/>
      <c r="AN307" s="253"/>
      <c r="AO307" s="253"/>
      <c r="AP307" s="253"/>
      <c r="AQ307" s="253"/>
      <c r="AR307" s="253"/>
      <c r="AS307" s="253"/>
      <c r="AT307" s="253"/>
      <c r="AU307" s="253"/>
    </row>
    <row r="308" spans="9:47" x14ac:dyDescent="0.25">
      <c r="I308" s="260">
        <v>293</v>
      </c>
      <c r="J308" s="255" t="str">
        <f>IF(I308&lt;=MAX(Forest_data[Age]),I308,"")</f>
        <v/>
      </c>
      <c r="K308" s="256" t="str">
        <f>IF(ISNUMBER(J308),LOOKUP(J308, Forest_data[[#All],[Age]],Forest_data[[#All],[Number of trees per ha]]),"")</f>
        <v/>
      </c>
      <c r="L308" s="257" t="str">
        <f>IF(ISNUMBER(J308),IF(ISNA(VLOOKUP(J308,Forest_data[#All],3,FALSE)),#N/A, VLOOKUP(J308,Forest_data[#All],3,FALSE)),"")</f>
        <v/>
      </c>
      <c r="M308" s="257" t="str">
        <f>IF(ISNUMBER(J308),IF(ISNA(VLOOKUP(J308,Forest_data[#All],4,FALSE)),#N/A, VLOOKUP(J308,Forest_data[#All],4,FALSE)),"")</f>
        <v/>
      </c>
      <c r="N308" s="257" t="str">
        <f>IF(ISNUMBER(J308),IF(ISNA(VLOOKUP(J308,Forest_data[#All],5,FALSE)),#N/A, VLOOKUP(J308,Forest_data[#All],5,FALSE)),"")</f>
        <v/>
      </c>
      <c r="O308" s="257" t="str">
        <f>IF(ISNUMBER(J308),IF(ISNA(VLOOKUP(J308,Forest_data[#All],6,FALSE)),#N/A, VLOOKUP(J308,Forest_data[#All],6,FALSE)),"")</f>
        <v/>
      </c>
      <c r="P308" s="257" t="str">
        <f t="shared" si="39"/>
        <v/>
      </c>
      <c r="Q308" s="257" t="str">
        <f t="shared" si="32"/>
        <v/>
      </c>
      <c r="R308" s="257" t="str">
        <f t="shared" si="37"/>
        <v/>
      </c>
      <c r="S308" s="283" t="str">
        <f t="shared" si="33"/>
        <v/>
      </c>
      <c r="T308" s="258" t="str">
        <f t="shared" si="34"/>
        <v/>
      </c>
      <c r="U308" s="257" t="str">
        <f t="shared" si="35"/>
        <v/>
      </c>
      <c r="V308" s="257" t="str">
        <f t="shared" si="38"/>
        <v/>
      </c>
      <c r="W308" s="283" t="str">
        <f t="shared" si="36"/>
        <v/>
      </c>
      <c r="X308" s="253"/>
      <c r="Y308" s="253"/>
      <c r="Z308" s="253"/>
      <c r="AA308" s="253"/>
      <c r="AB308" s="253"/>
      <c r="AC308" s="253"/>
      <c r="AD308" s="253"/>
      <c r="AE308" s="253"/>
      <c r="AF308" s="253"/>
      <c r="AG308" s="253"/>
      <c r="AH308" s="253"/>
      <c r="AI308" s="253"/>
      <c r="AJ308" s="253"/>
      <c r="AK308" s="253"/>
      <c r="AL308" s="253"/>
      <c r="AM308" s="253"/>
      <c r="AN308" s="253"/>
      <c r="AO308" s="253"/>
      <c r="AP308" s="253"/>
      <c r="AQ308" s="253"/>
      <c r="AR308" s="253"/>
      <c r="AS308" s="253"/>
      <c r="AT308" s="253"/>
      <c r="AU308" s="253"/>
    </row>
    <row r="309" spans="9:47" x14ac:dyDescent="0.25">
      <c r="I309" s="83">
        <v>294</v>
      </c>
      <c r="J309" s="255" t="str">
        <f>IF(I309&lt;=MAX(Forest_data[Age]),I309,"")</f>
        <v/>
      </c>
      <c r="K309" s="256" t="str">
        <f>IF(ISNUMBER(J309),LOOKUP(J309, Forest_data[[#All],[Age]],Forest_data[[#All],[Number of trees per ha]]),"")</f>
        <v/>
      </c>
      <c r="L309" s="257" t="str">
        <f>IF(ISNUMBER(J309),IF(ISNA(VLOOKUP(J309,Forest_data[#All],3,FALSE)),#N/A, VLOOKUP(J309,Forest_data[#All],3,FALSE)),"")</f>
        <v/>
      </c>
      <c r="M309" s="257" t="str">
        <f>IF(ISNUMBER(J309),IF(ISNA(VLOOKUP(J309,Forest_data[#All],4,FALSE)),#N/A, VLOOKUP(J309,Forest_data[#All],4,FALSE)),"")</f>
        <v/>
      </c>
      <c r="N309" s="257" t="str">
        <f>IF(ISNUMBER(J309),IF(ISNA(VLOOKUP(J309,Forest_data[#All],5,FALSE)),#N/A, VLOOKUP(J309,Forest_data[#All],5,FALSE)),"")</f>
        <v/>
      </c>
      <c r="O309" s="257" t="str">
        <f>IF(ISNUMBER(J309),IF(ISNA(VLOOKUP(J309,Forest_data[#All],6,FALSE)),#N/A, VLOOKUP(J309,Forest_data[#All],6,FALSE)),"")</f>
        <v/>
      </c>
      <c r="P309" s="257" t="str">
        <f t="shared" si="39"/>
        <v/>
      </c>
      <c r="Q309" s="257" t="str">
        <f t="shared" si="32"/>
        <v/>
      </c>
      <c r="R309" s="257" t="str">
        <f t="shared" si="37"/>
        <v/>
      </c>
      <c r="S309" s="283" t="str">
        <f t="shared" si="33"/>
        <v/>
      </c>
      <c r="T309" s="258" t="str">
        <f t="shared" si="34"/>
        <v/>
      </c>
      <c r="U309" s="257" t="str">
        <f t="shared" si="35"/>
        <v/>
      </c>
      <c r="V309" s="257" t="str">
        <f t="shared" si="38"/>
        <v/>
      </c>
      <c r="W309" s="283" t="str">
        <f t="shared" si="36"/>
        <v/>
      </c>
      <c r="X309" s="253"/>
      <c r="Y309" s="253"/>
      <c r="Z309" s="253"/>
      <c r="AA309" s="253"/>
      <c r="AB309" s="253"/>
      <c r="AC309" s="253"/>
      <c r="AD309" s="253"/>
      <c r="AE309" s="253"/>
      <c r="AF309" s="253"/>
      <c r="AG309" s="253"/>
      <c r="AH309" s="253"/>
      <c r="AI309" s="253"/>
      <c r="AJ309" s="253"/>
      <c r="AK309" s="253"/>
      <c r="AL309" s="253"/>
      <c r="AM309" s="253"/>
      <c r="AN309" s="253"/>
      <c r="AO309" s="253"/>
      <c r="AP309" s="253"/>
      <c r="AQ309" s="253"/>
      <c r="AR309" s="253"/>
      <c r="AS309" s="253"/>
      <c r="AT309" s="253"/>
      <c r="AU309" s="253"/>
    </row>
    <row r="310" spans="9:47" x14ac:dyDescent="0.25">
      <c r="I310" s="83">
        <v>295</v>
      </c>
      <c r="J310" s="255" t="str">
        <f>IF(I310&lt;=MAX(Forest_data[Age]),I310,"")</f>
        <v/>
      </c>
      <c r="K310" s="256" t="str">
        <f>IF(ISNUMBER(J310),LOOKUP(J310, Forest_data[[#All],[Age]],Forest_data[[#All],[Number of trees per ha]]),"")</f>
        <v/>
      </c>
      <c r="L310" s="257" t="str">
        <f>IF(ISNUMBER(J310),IF(ISNA(VLOOKUP(J310,Forest_data[#All],3,FALSE)),#N/A, VLOOKUP(J310,Forest_data[#All],3,FALSE)),"")</f>
        <v/>
      </c>
      <c r="M310" s="257" t="str">
        <f>IF(ISNUMBER(J310),IF(ISNA(VLOOKUP(J310,Forest_data[#All],4,FALSE)),#N/A, VLOOKUP(J310,Forest_data[#All],4,FALSE)),"")</f>
        <v/>
      </c>
      <c r="N310" s="257" t="str">
        <f>IF(ISNUMBER(J310),IF(ISNA(VLOOKUP(J310,Forest_data[#All],5,FALSE)),#N/A, VLOOKUP(J310,Forest_data[#All],5,FALSE)),"")</f>
        <v/>
      </c>
      <c r="O310" s="257" t="str">
        <f>IF(ISNUMBER(J310),IF(ISNA(VLOOKUP(J310,Forest_data[#All],6,FALSE)),#N/A, VLOOKUP(J310,Forest_data[#All],6,FALSE)),"")</f>
        <v/>
      </c>
      <c r="P310" s="257" t="str">
        <f t="shared" si="39"/>
        <v/>
      </c>
      <c r="Q310" s="257" t="str">
        <f t="shared" si="32"/>
        <v/>
      </c>
      <c r="R310" s="257" t="str">
        <f t="shared" si="37"/>
        <v/>
      </c>
      <c r="S310" s="283" t="str">
        <f t="shared" si="33"/>
        <v/>
      </c>
      <c r="T310" s="258" t="str">
        <f t="shared" si="34"/>
        <v/>
      </c>
      <c r="U310" s="257" t="str">
        <f t="shared" si="35"/>
        <v/>
      </c>
      <c r="V310" s="257" t="str">
        <f t="shared" si="38"/>
        <v/>
      </c>
      <c r="W310" s="283" t="str">
        <f t="shared" si="36"/>
        <v/>
      </c>
      <c r="X310" s="253"/>
      <c r="Y310" s="253"/>
      <c r="Z310" s="253"/>
      <c r="AA310" s="253"/>
      <c r="AB310" s="253"/>
      <c r="AC310" s="253"/>
      <c r="AD310" s="253"/>
      <c r="AE310" s="253"/>
      <c r="AF310" s="253"/>
      <c r="AG310" s="253"/>
      <c r="AH310" s="253"/>
      <c r="AI310" s="253"/>
      <c r="AJ310" s="253"/>
      <c r="AK310" s="253"/>
      <c r="AL310" s="253"/>
      <c r="AM310" s="253"/>
      <c r="AN310" s="253"/>
      <c r="AO310" s="253"/>
      <c r="AP310" s="253"/>
      <c r="AQ310" s="253"/>
      <c r="AR310" s="253"/>
      <c r="AS310" s="253"/>
      <c r="AT310" s="253"/>
      <c r="AU310" s="253"/>
    </row>
    <row r="311" spans="9:47" x14ac:dyDescent="0.25">
      <c r="I311" s="83">
        <v>296</v>
      </c>
      <c r="J311" s="255" t="str">
        <f>IF(I311&lt;=MAX(Forest_data[Age]),I311,"")</f>
        <v/>
      </c>
      <c r="K311" s="256" t="str">
        <f>IF(ISNUMBER(J311),LOOKUP(J311, Forest_data[[#All],[Age]],Forest_data[[#All],[Number of trees per ha]]),"")</f>
        <v/>
      </c>
      <c r="L311" s="257" t="str">
        <f>IF(ISNUMBER(J311),IF(ISNA(VLOOKUP(J311,Forest_data[#All],3,FALSE)),#N/A, VLOOKUP(J311,Forest_data[#All],3,FALSE)),"")</f>
        <v/>
      </c>
      <c r="M311" s="257" t="str">
        <f>IF(ISNUMBER(J311),IF(ISNA(VLOOKUP(J311,Forest_data[#All],4,FALSE)),#N/A, VLOOKUP(J311,Forest_data[#All],4,FALSE)),"")</f>
        <v/>
      </c>
      <c r="N311" s="257" t="str">
        <f>IF(ISNUMBER(J311),IF(ISNA(VLOOKUP(J311,Forest_data[#All],5,FALSE)),#N/A, VLOOKUP(J311,Forest_data[#All],5,FALSE)),"")</f>
        <v/>
      </c>
      <c r="O311" s="257" t="str">
        <f>IF(ISNUMBER(J311),IF(ISNA(VLOOKUP(J311,Forest_data[#All],6,FALSE)),#N/A, VLOOKUP(J311,Forest_data[#All],6,FALSE)),"")</f>
        <v/>
      </c>
      <c r="P311" s="257" t="str">
        <f t="shared" si="39"/>
        <v/>
      </c>
      <c r="Q311" s="257" t="str">
        <f t="shared" si="32"/>
        <v/>
      </c>
      <c r="R311" s="257" t="str">
        <f t="shared" si="37"/>
        <v/>
      </c>
      <c r="S311" s="283" t="str">
        <f t="shared" si="33"/>
        <v/>
      </c>
      <c r="T311" s="258" t="str">
        <f t="shared" si="34"/>
        <v/>
      </c>
      <c r="U311" s="257" t="str">
        <f t="shared" si="35"/>
        <v/>
      </c>
      <c r="V311" s="257" t="str">
        <f t="shared" si="38"/>
        <v/>
      </c>
      <c r="W311" s="283" t="str">
        <f t="shared" si="36"/>
        <v/>
      </c>
      <c r="X311" s="253"/>
      <c r="Y311" s="253"/>
      <c r="Z311" s="253"/>
      <c r="AA311" s="253"/>
      <c r="AB311" s="253"/>
      <c r="AC311" s="253"/>
      <c r="AD311" s="253"/>
      <c r="AE311" s="253"/>
      <c r="AF311" s="253"/>
      <c r="AG311" s="253"/>
      <c r="AH311" s="253"/>
      <c r="AI311" s="253"/>
      <c r="AJ311" s="253"/>
      <c r="AK311" s="253"/>
      <c r="AL311" s="253"/>
      <c r="AM311" s="253"/>
      <c r="AN311" s="253"/>
      <c r="AO311" s="253"/>
      <c r="AP311" s="253"/>
      <c r="AQ311" s="253"/>
      <c r="AR311" s="253"/>
      <c r="AS311" s="253"/>
      <c r="AT311" s="253"/>
      <c r="AU311" s="253"/>
    </row>
    <row r="312" spans="9:47" x14ac:dyDescent="0.25">
      <c r="I312" s="260">
        <v>297</v>
      </c>
      <c r="J312" s="255" t="str">
        <f>IF(I312&lt;=MAX(Forest_data[Age]),I312,"")</f>
        <v/>
      </c>
      <c r="K312" s="256" t="str">
        <f>IF(ISNUMBER(J312),LOOKUP(J312, Forest_data[[#All],[Age]],Forest_data[[#All],[Number of trees per ha]]),"")</f>
        <v/>
      </c>
      <c r="L312" s="257" t="str">
        <f>IF(ISNUMBER(J312),IF(ISNA(VLOOKUP(J312,Forest_data[#All],3,FALSE)),#N/A, VLOOKUP(J312,Forest_data[#All],3,FALSE)),"")</f>
        <v/>
      </c>
      <c r="M312" s="257" t="str">
        <f>IF(ISNUMBER(J312),IF(ISNA(VLOOKUP(J312,Forest_data[#All],4,FALSE)),#N/A, VLOOKUP(J312,Forest_data[#All],4,FALSE)),"")</f>
        <v/>
      </c>
      <c r="N312" s="257" t="str">
        <f>IF(ISNUMBER(J312),IF(ISNA(VLOOKUP(J312,Forest_data[#All],5,FALSE)),#N/A, VLOOKUP(J312,Forest_data[#All],5,FALSE)),"")</f>
        <v/>
      </c>
      <c r="O312" s="257" t="str">
        <f>IF(ISNUMBER(J312),IF(ISNA(VLOOKUP(J312,Forest_data[#All],6,FALSE)),#N/A, VLOOKUP(J312,Forest_data[#All],6,FALSE)),"")</f>
        <v/>
      </c>
      <c r="P312" s="257" t="str">
        <f t="shared" si="39"/>
        <v/>
      </c>
      <c r="Q312" s="257" t="str">
        <f t="shared" si="32"/>
        <v/>
      </c>
      <c r="R312" s="257" t="str">
        <f t="shared" si="37"/>
        <v/>
      </c>
      <c r="S312" s="283" t="str">
        <f t="shared" si="33"/>
        <v/>
      </c>
      <c r="T312" s="258" t="str">
        <f t="shared" si="34"/>
        <v/>
      </c>
      <c r="U312" s="257" t="str">
        <f t="shared" si="35"/>
        <v/>
      </c>
      <c r="V312" s="257" t="str">
        <f t="shared" si="38"/>
        <v/>
      </c>
      <c r="W312" s="283" t="str">
        <f t="shared" si="36"/>
        <v/>
      </c>
      <c r="X312" s="253"/>
      <c r="Y312" s="253"/>
      <c r="Z312" s="253"/>
      <c r="AA312" s="253"/>
      <c r="AB312" s="253"/>
      <c r="AC312" s="253"/>
      <c r="AD312" s="253"/>
      <c r="AE312" s="253"/>
      <c r="AF312" s="253"/>
      <c r="AG312" s="253"/>
      <c r="AH312" s="253"/>
      <c r="AI312" s="253"/>
      <c r="AJ312" s="253"/>
      <c r="AK312" s="253"/>
      <c r="AL312" s="253"/>
      <c r="AM312" s="253"/>
      <c r="AN312" s="253"/>
      <c r="AO312" s="253"/>
      <c r="AP312" s="253"/>
      <c r="AQ312" s="253"/>
      <c r="AR312" s="253"/>
      <c r="AS312" s="253"/>
      <c r="AT312" s="253"/>
      <c r="AU312" s="253"/>
    </row>
    <row r="313" spans="9:47" x14ac:dyDescent="0.25">
      <c r="I313" s="83">
        <v>298</v>
      </c>
      <c r="J313" s="255" t="str">
        <f>IF(I313&lt;=MAX(Forest_data[Age]),I313,"")</f>
        <v/>
      </c>
      <c r="K313" s="256" t="str">
        <f>IF(ISNUMBER(J313),LOOKUP(J313, Forest_data[[#All],[Age]],Forest_data[[#All],[Number of trees per ha]]),"")</f>
        <v/>
      </c>
      <c r="L313" s="257" t="str">
        <f>IF(ISNUMBER(J313),IF(ISNA(VLOOKUP(J313,Forest_data[#All],3,FALSE)),#N/A, VLOOKUP(J313,Forest_data[#All],3,FALSE)),"")</f>
        <v/>
      </c>
      <c r="M313" s="257" t="str">
        <f>IF(ISNUMBER(J313),IF(ISNA(VLOOKUP(J313,Forest_data[#All],4,FALSE)),#N/A, VLOOKUP(J313,Forest_data[#All],4,FALSE)),"")</f>
        <v/>
      </c>
      <c r="N313" s="257" t="str">
        <f>IF(ISNUMBER(J313),IF(ISNA(VLOOKUP(J313,Forest_data[#All],5,FALSE)),#N/A, VLOOKUP(J313,Forest_data[#All],5,FALSE)),"")</f>
        <v/>
      </c>
      <c r="O313" s="257" t="str">
        <f>IF(ISNUMBER(J313),IF(ISNA(VLOOKUP(J313,Forest_data[#All],6,FALSE)),#N/A, VLOOKUP(J313,Forest_data[#All],6,FALSE)),"")</f>
        <v/>
      </c>
      <c r="P313" s="257" t="str">
        <f t="shared" si="39"/>
        <v/>
      </c>
      <c r="Q313" s="257" t="str">
        <f t="shared" si="32"/>
        <v/>
      </c>
      <c r="R313" s="257" t="str">
        <f t="shared" si="37"/>
        <v/>
      </c>
      <c r="S313" s="283" t="str">
        <f t="shared" si="33"/>
        <v/>
      </c>
      <c r="T313" s="258" t="str">
        <f t="shared" si="34"/>
        <v/>
      </c>
      <c r="U313" s="257" t="str">
        <f t="shared" si="35"/>
        <v/>
      </c>
      <c r="V313" s="257" t="str">
        <f t="shared" si="38"/>
        <v/>
      </c>
      <c r="W313" s="283" t="str">
        <f t="shared" si="36"/>
        <v/>
      </c>
      <c r="X313" s="253"/>
      <c r="Y313" s="253"/>
      <c r="Z313" s="253"/>
      <c r="AA313" s="253"/>
      <c r="AB313" s="253"/>
      <c r="AC313" s="253"/>
      <c r="AD313" s="253"/>
      <c r="AE313" s="253"/>
      <c r="AF313" s="253"/>
      <c r="AG313" s="253"/>
      <c r="AH313" s="253"/>
      <c r="AI313" s="253"/>
      <c r="AJ313" s="253"/>
      <c r="AK313" s="253"/>
      <c r="AL313" s="253"/>
      <c r="AM313" s="253"/>
      <c r="AN313" s="253"/>
      <c r="AO313" s="253"/>
      <c r="AP313" s="253"/>
      <c r="AQ313" s="253"/>
      <c r="AR313" s="253"/>
      <c r="AS313" s="253"/>
      <c r="AT313" s="253"/>
      <c r="AU313" s="253"/>
    </row>
    <row r="314" spans="9:47" x14ac:dyDescent="0.25">
      <c r="I314" s="83">
        <v>299</v>
      </c>
      <c r="J314" s="255" t="str">
        <f>IF(I314&lt;=MAX(Forest_data[Age]),I314,"")</f>
        <v/>
      </c>
      <c r="K314" s="256" t="str">
        <f>IF(ISNUMBER(J314),LOOKUP(J314, Forest_data[[#All],[Age]],Forest_data[[#All],[Number of trees per ha]]),"")</f>
        <v/>
      </c>
      <c r="L314" s="257" t="str">
        <f>IF(ISNUMBER(J314),IF(ISNA(VLOOKUP(J314,Forest_data[#All],3,FALSE)),#N/A, VLOOKUP(J314,Forest_data[#All],3,FALSE)),"")</f>
        <v/>
      </c>
      <c r="M314" s="257" t="str">
        <f>IF(ISNUMBER(J314),IF(ISNA(VLOOKUP(J314,Forest_data[#All],4,FALSE)),#N/A, VLOOKUP(J314,Forest_data[#All],4,FALSE)),"")</f>
        <v/>
      </c>
      <c r="N314" s="257" t="str">
        <f>IF(ISNUMBER(J314),IF(ISNA(VLOOKUP(J314,Forest_data[#All],5,FALSE)),#N/A, VLOOKUP(J314,Forest_data[#All],5,FALSE)),"")</f>
        <v/>
      </c>
      <c r="O314" s="257" t="str">
        <f>IF(ISNUMBER(J314),IF(ISNA(VLOOKUP(J314,Forest_data[#All],6,FALSE)),#N/A, VLOOKUP(J314,Forest_data[#All],6,FALSE)),"")</f>
        <v/>
      </c>
      <c r="P314" s="257" t="str">
        <f t="shared" si="39"/>
        <v/>
      </c>
      <c r="Q314" s="257" t="str">
        <f t="shared" si="32"/>
        <v/>
      </c>
      <c r="R314" s="257" t="str">
        <f t="shared" si="37"/>
        <v/>
      </c>
      <c r="S314" s="283" t="str">
        <f t="shared" si="33"/>
        <v/>
      </c>
      <c r="T314" s="258" t="str">
        <f t="shared" si="34"/>
        <v/>
      </c>
      <c r="U314" s="257" t="str">
        <f t="shared" si="35"/>
        <v/>
      </c>
      <c r="V314" s="257" t="str">
        <f t="shared" si="38"/>
        <v/>
      </c>
      <c r="W314" s="283" t="str">
        <f t="shared" si="36"/>
        <v/>
      </c>
      <c r="X314" s="253"/>
      <c r="Y314" s="253"/>
      <c r="Z314" s="253"/>
      <c r="AA314" s="253"/>
      <c r="AB314" s="253"/>
      <c r="AC314" s="253"/>
      <c r="AD314" s="253"/>
      <c r="AE314" s="253"/>
      <c r="AF314" s="253"/>
      <c r="AG314" s="253"/>
      <c r="AH314" s="253"/>
      <c r="AI314" s="253"/>
      <c r="AJ314" s="253"/>
      <c r="AK314" s="253"/>
      <c r="AL314" s="253"/>
      <c r="AM314" s="253"/>
      <c r="AN314" s="253"/>
      <c r="AO314" s="253"/>
      <c r="AP314" s="253"/>
      <c r="AQ314" s="253"/>
      <c r="AR314" s="253"/>
      <c r="AS314" s="253"/>
      <c r="AT314" s="253"/>
      <c r="AU314" s="253"/>
    </row>
    <row r="315" spans="9:47" ht="15.75" thickBot="1" x14ac:dyDescent="0.3">
      <c r="I315" s="83">
        <v>300</v>
      </c>
      <c r="J315" s="277" t="str">
        <f>IF(I315&lt;=MAX(Forest_data[Age]),I315,"")</f>
        <v/>
      </c>
      <c r="K315" s="278" t="str">
        <f>IF(ISNUMBER(J315),LOOKUP(J315, Forest_data[[#All],[Age]],Forest_data[[#All],[Number of trees per ha]]),"")</f>
        <v/>
      </c>
      <c r="L315" s="279" t="str">
        <f>IF(ISNUMBER(J315),IF(ISNA(VLOOKUP(J315,Forest_data[#All],3,FALSE)),#N/A, VLOOKUP(J315,Forest_data[#All],3,FALSE)),"")</f>
        <v/>
      </c>
      <c r="M315" s="279" t="str">
        <f>IF(ISNUMBER(J315),IF(ISNA(VLOOKUP(J315,Forest_data[#All],4,FALSE)),#N/A, VLOOKUP(J315,Forest_data[#All],4,FALSE)),"")</f>
        <v/>
      </c>
      <c r="N315" s="279" t="str">
        <f>IF(ISNUMBER(J315),IF(ISNA(VLOOKUP(J315,Forest_data[#All],5,FALSE)),#N/A, VLOOKUP(J315,Forest_data[#All],5,FALSE)),"")</f>
        <v/>
      </c>
      <c r="O315" s="279" t="str">
        <f>IF(ISNUMBER(J315),IF(ISNA(VLOOKUP(J315,Forest_data[#All],6,FALSE)),#N/A, VLOOKUP(J315,Forest_data[#All],6,FALSE)),"")</f>
        <v/>
      </c>
      <c r="P315" s="279" t="str">
        <f t="shared" si="39"/>
        <v/>
      </c>
      <c r="Q315" s="279" t="str">
        <f t="shared" si="32"/>
        <v/>
      </c>
      <c r="R315" s="279" t="str">
        <f t="shared" si="37"/>
        <v/>
      </c>
      <c r="S315" s="284" t="str">
        <f t="shared" si="33"/>
        <v/>
      </c>
      <c r="T315" s="280" t="str">
        <f t="shared" si="34"/>
        <v/>
      </c>
      <c r="U315" s="281" t="str">
        <f t="shared" si="35"/>
        <v/>
      </c>
      <c r="V315" s="281" t="str">
        <f t="shared" si="38"/>
        <v/>
      </c>
      <c r="W315" s="285" t="str">
        <f t="shared" si="36"/>
        <v/>
      </c>
      <c r="X315" s="253"/>
      <c r="Y315" s="253"/>
      <c r="Z315" s="253"/>
      <c r="AA315" s="253"/>
      <c r="AB315" s="253"/>
      <c r="AC315" s="253"/>
      <c r="AD315" s="253"/>
      <c r="AE315" s="253"/>
      <c r="AF315" s="253"/>
      <c r="AG315" s="253"/>
      <c r="AH315" s="253"/>
      <c r="AI315" s="253"/>
      <c r="AJ315" s="253"/>
      <c r="AK315" s="253"/>
      <c r="AL315" s="253"/>
      <c r="AM315" s="253"/>
      <c r="AN315" s="253"/>
      <c r="AO315" s="253"/>
      <c r="AP315" s="253"/>
      <c r="AQ315" s="253"/>
      <c r="AR315" s="253"/>
      <c r="AS315" s="253"/>
      <c r="AT315" s="253"/>
      <c r="AU315" s="253"/>
    </row>
  </sheetData>
  <mergeCells count="12">
    <mergeCell ref="A7:D13"/>
    <mergeCell ref="J7:O11"/>
    <mergeCell ref="AA16:AB16"/>
    <mergeCell ref="AA18:AB18"/>
    <mergeCell ref="AA19:AB19"/>
    <mergeCell ref="J14:O14"/>
    <mergeCell ref="P14:S14"/>
    <mergeCell ref="T14:W14"/>
    <mergeCell ref="E11:F11"/>
    <mergeCell ref="E10:F10"/>
    <mergeCell ref="S12:W12"/>
    <mergeCell ref="Z12:AJ13"/>
  </mergeCells>
  <conditionalFormatting sqref="D15 D20">
    <cfRule type="expression" dxfId="5" priority="22" stopIfTrue="1">
      <formula>IF(OR($B$15=$X$8,$B$15=$X$9),TRUE,FALSE)</formula>
    </cfRule>
  </conditionalFormatting>
  <dataValidations count="7">
    <dataValidation type="custom" errorStyle="warning" allowBlank="1" showInputMessage="1" showErrorMessage="1" errorTitle="Smoothing Length" error="Smoothing length should be an odd number" sqref="C983082 C917546 C852010 C786474 C720938 C655402 C589866 C524330 C458794 C393258 C327722 C262186 C196650 C131114 C65578 LLV983081 LBZ983081 KSD983081 KIH983081 JYL983081 JOP983081 JET983081 IUX983081 ILB983081 IBF983081 HRJ983081 HHN983081 GXR983081 GNV983081 GDZ983081 FUD983081 FKH983081 FAL983081 EQP983081 EGT983081 DWX983081 DNB983081 DDF983081 CTJ983081 CJN983081 BZR983081 BPV983081 BFZ983081 AWD983081 AMH983081 ACL983081 SP983081 IT983081 LLV917545 LBZ917545 KSD917545 KIH917545 JYL917545 JOP917545 JET917545 IUX917545 ILB917545 IBF917545 HRJ917545 HHN917545 GXR917545 GNV917545 GDZ917545 FUD917545 FKH917545 FAL917545 EQP917545 EGT917545 DWX917545 DNB917545 DDF917545 CTJ917545 CJN917545 BZR917545 BPV917545 BFZ917545 AWD917545 AMH917545 ACL917545 SP917545 IT917545 LLV852009 LBZ852009 KSD852009 KIH852009 JYL852009 JOP852009 JET852009 IUX852009 ILB852009 IBF852009 HRJ852009 HHN852009 GXR852009 GNV852009 GDZ852009 FUD852009 FKH852009 FAL852009 EQP852009 EGT852009 DWX852009 DNB852009 DDF852009 CTJ852009 CJN852009 BZR852009 BPV852009 BFZ852009 AWD852009 AMH852009 ACL852009 SP852009 IT852009 LLV786473 LBZ786473 KSD786473 KIH786473 JYL786473 JOP786473 JET786473 IUX786473 ILB786473 IBF786473 HRJ786473 HHN786473 GXR786473 GNV786473 GDZ786473 FUD786473 FKH786473 FAL786473 EQP786473 EGT786473 DWX786473 DNB786473 DDF786473 CTJ786473 CJN786473 BZR786473 BPV786473 BFZ786473 AWD786473 AMH786473 ACL786473 SP786473 IT786473 LLV720937 LBZ720937 KSD720937 KIH720937 JYL720937 JOP720937 JET720937 IUX720937 ILB720937 IBF720937 HRJ720937 HHN720937 GXR720937 GNV720937 GDZ720937 FUD720937 FKH720937 FAL720937 EQP720937 EGT720937 DWX720937 DNB720937 DDF720937 CTJ720937 CJN720937 BZR720937 BPV720937 BFZ720937 AWD720937 AMH720937 ACL720937 SP720937 IT720937 LLV655401 LBZ655401 KSD655401 KIH655401 JYL655401 JOP655401 JET655401 IUX655401 ILB655401 IBF655401 HRJ655401 HHN655401 GXR655401 GNV655401 GDZ655401 FUD655401 FKH655401 FAL655401 EQP655401 EGT655401 DWX655401 DNB655401 DDF655401 CTJ655401 CJN655401 BZR655401 BPV655401 BFZ655401 AWD655401 AMH655401 ACL655401 SP655401 IT655401 LLV589865 LBZ589865 KSD589865 KIH589865 JYL589865 JOP589865 JET589865 IUX589865 ILB589865 IBF589865 HRJ589865 HHN589865 GXR589865 GNV589865 GDZ589865 FUD589865 FKH589865 FAL589865 EQP589865 EGT589865 DWX589865 DNB589865 DDF589865 CTJ589865 CJN589865 BZR589865 BPV589865 BFZ589865 AWD589865 AMH589865 ACL589865 SP589865 IT589865 LLV524329 LBZ524329 KSD524329 KIH524329 JYL524329 JOP524329 JET524329 IUX524329 ILB524329 IBF524329 HRJ524329 HHN524329 GXR524329 GNV524329 GDZ524329 FUD524329 FKH524329 FAL524329 EQP524329 EGT524329 DWX524329 DNB524329 DDF524329 CTJ524329 CJN524329 BZR524329 BPV524329 BFZ524329 AWD524329 AMH524329 ACL524329 SP524329 IT524329 LLV458793 LBZ458793 KSD458793 KIH458793 JYL458793 JOP458793 JET458793 IUX458793 ILB458793 IBF458793 HRJ458793 HHN458793 GXR458793 GNV458793 GDZ458793 FUD458793 FKH458793 FAL458793 EQP458793 EGT458793 DWX458793 DNB458793 DDF458793 CTJ458793 CJN458793 BZR458793 BPV458793 BFZ458793 AWD458793 AMH458793 ACL458793 SP458793 IT458793 LLV393257 LBZ393257 KSD393257 KIH393257 JYL393257 JOP393257 JET393257 IUX393257 ILB393257 IBF393257 HRJ393257 HHN393257 GXR393257 GNV393257 GDZ393257 FUD393257 FKH393257 FAL393257 EQP393257 EGT393257 DWX393257 DNB393257 DDF393257 CTJ393257 CJN393257 BZR393257 BPV393257 BFZ393257 AWD393257 AMH393257 ACL393257 SP393257 IT393257 LLV327721 LBZ327721 KSD327721 KIH327721 JYL327721 JOP327721 JET327721 IUX327721 ILB327721 IBF327721 HRJ327721 HHN327721 GXR327721 GNV327721 GDZ327721 FUD327721 FKH327721 FAL327721 EQP327721 EGT327721 DWX327721 DNB327721 DDF327721 CTJ327721 CJN327721 BZR327721 BPV327721 BFZ327721 AWD327721 AMH327721 ACL327721 SP327721 IT327721 LLV262185 LBZ262185 KSD262185 KIH262185 JYL262185 JOP262185 JET262185 IUX262185 ILB262185 IBF262185 HRJ262185 HHN262185 GXR262185 GNV262185 GDZ262185 FUD262185 FKH262185 FAL262185 EQP262185 EGT262185 DWX262185 DNB262185 DDF262185 CTJ262185 CJN262185 BZR262185 BPV262185 BFZ262185 AWD262185 AMH262185 ACL262185 SP262185 IT262185 LLV196649 LBZ196649 KSD196649 KIH196649 JYL196649 JOP196649 JET196649 IUX196649 ILB196649 IBF196649 HRJ196649 HHN196649 GXR196649 GNV196649 GDZ196649 FUD196649 FKH196649 FAL196649 EQP196649 EGT196649 DWX196649 DNB196649 DDF196649 CTJ196649 CJN196649 BZR196649 BPV196649 BFZ196649 AWD196649 AMH196649 ACL196649 SP196649 IT196649 LLV131113 LBZ131113 KSD131113 KIH131113 JYL131113 JOP131113 JET131113 IUX131113 ILB131113 IBF131113 HRJ131113 HHN131113 GXR131113 GNV131113 GDZ131113 FUD131113 FKH131113 FAL131113 EQP131113 EGT131113 DWX131113 DNB131113 DDF131113 CTJ131113 CJN131113 BZR131113 BPV131113 BFZ131113 AWD131113 AMH131113 ACL131113 SP131113 IT131113 LLV65577 LBZ65577 KSD65577 KIH65577 JYL65577 JOP65577 JET65577 IUX65577 ILB65577 IBF65577 HRJ65577 HHN65577 GXR65577 GNV65577 GDZ65577 FUD65577 FKH65577 FAL65577 EQP65577 EGT65577 DWX65577 DNB65577 DDF65577 CTJ65577 CJN65577 BZR65577 BPV65577 BFZ65577 AWD65577 AMH65577 ACL65577 SP65577 IT65577 LLN41 LBR41 KRV41 KHZ41 JYD41 JOH41 JEL41 IUP41 IKT41 IAX41 HRB41 HHF41 GXJ41 GNN41 GDR41 FTV41 FJZ41 FAD41 EQH41 EGL41 DWP41 DMT41 DCX41 CTB41 CJF41 BZJ41 BPN41 BFR41 AVV41 ALZ41 ACD41 SH41 IL41" xr:uid="{00000000-0002-0000-0C00-000000000000}">
      <formula1>IF(MOD(C41,2)&lt;&gt;0,TRUE,FALSE)</formula1>
    </dataValidation>
    <dataValidation type="decimal" operator="greaterThan" allowBlank="1" showInputMessage="1" showErrorMessage="1" errorTitle="Extrapolation Control" error="This value must be greater than zero." sqref="C983083 C917547 C852011 C786475 C720939 C655403 C589867 C524331 C458795 C393259 C327723 C262187 C196651 C131115 C65579 LLV983082 LBZ983082 KSD983082 KIH983082 JYL983082 JOP983082 JET983082 IUX983082 ILB983082 IBF983082 HRJ983082 HHN983082 GXR983082 GNV983082 GDZ983082 FUD983082 FKH983082 FAL983082 EQP983082 EGT983082 DWX983082 DNB983082 DDF983082 CTJ983082 CJN983082 BZR983082 BPV983082 BFZ983082 AWD983082 AMH983082 ACL983082 SP983082 IT983082 LLV917546 LBZ917546 KSD917546 KIH917546 JYL917546 JOP917546 JET917546 IUX917546 ILB917546 IBF917546 HRJ917546 HHN917546 GXR917546 GNV917546 GDZ917546 FUD917546 FKH917546 FAL917546 EQP917546 EGT917546 DWX917546 DNB917546 DDF917546 CTJ917546 CJN917546 BZR917546 BPV917546 BFZ917546 AWD917546 AMH917546 ACL917546 SP917546 IT917546 LLV852010 LBZ852010 KSD852010 KIH852010 JYL852010 JOP852010 JET852010 IUX852010 ILB852010 IBF852010 HRJ852010 HHN852010 GXR852010 GNV852010 GDZ852010 FUD852010 FKH852010 FAL852010 EQP852010 EGT852010 DWX852010 DNB852010 DDF852010 CTJ852010 CJN852010 BZR852010 BPV852010 BFZ852010 AWD852010 AMH852010 ACL852010 SP852010 IT852010 LLV786474 LBZ786474 KSD786474 KIH786474 JYL786474 JOP786474 JET786474 IUX786474 ILB786474 IBF786474 HRJ786474 HHN786474 GXR786474 GNV786474 GDZ786474 FUD786474 FKH786474 FAL786474 EQP786474 EGT786474 DWX786474 DNB786474 DDF786474 CTJ786474 CJN786474 BZR786474 BPV786474 BFZ786474 AWD786474 AMH786474 ACL786474 SP786474 IT786474 LLV720938 LBZ720938 KSD720938 KIH720938 JYL720938 JOP720938 JET720938 IUX720938 ILB720938 IBF720938 HRJ720938 HHN720938 GXR720938 GNV720938 GDZ720938 FUD720938 FKH720938 FAL720938 EQP720938 EGT720938 DWX720938 DNB720938 DDF720938 CTJ720938 CJN720938 BZR720938 BPV720938 BFZ720938 AWD720938 AMH720938 ACL720938 SP720938 IT720938 LLV655402 LBZ655402 KSD655402 KIH655402 JYL655402 JOP655402 JET655402 IUX655402 ILB655402 IBF655402 HRJ655402 HHN655402 GXR655402 GNV655402 GDZ655402 FUD655402 FKH655402 FAL655402 EQP655402 EGT655402 DWX655402 DNB655402 DDF655402 CTJ655402 CJN655402 BZR655402 BPV655402 BFZ655402 AWD655402 AMH655402 ACL655402 SP655402 IT655402 LLV589866 LBZ589866 KSD589866 KIH589866 JYL589866 JOP589866 JET589866 IUX589866 ILB589866 IBF589866 HRJ589866 HHN589866 GXR589866 GNV589866 GDZ589866 FUD589866 FKH589866 FAL589866 EQP589866 EGT589866 DWX589866 DNB589866 DDF589866 CTJ589866 CJN589866 BZR589866 BPV589866 BFZ589866 AWD589866 AMH589866 ACL589866 SP589866 IT589866 LLV524330 LBZ524330 KSD524330 KIH524330 JYL524330 JOP524330 JET524330 IUX524330 ILB524330 IBF524330 HRJ524330 HHN524330 GXR524330 GNV524330 GDZ524330 FUD524330 FKH524330 FAL524330 EQP524330 EGT524330 DWX524330 DNB524330 DDF524330 CTJ524330 CJN524330 BZR524330 BPV524330 BFZ524330 AWD524330 AMH524330 ACL524330 SP524330 IT524330 LLV458794 LBZ458794 KSD458794 KIH458794 JYL458794 JOP458794 JET458794 IUX458794 ILB458794 IBF458794 HRJ458794 HHN458794 GXR458794 GNV458794 GDZ458794 FUD458794 FKH458794 FAL458794 EQP458794 EGT458794 DWX458794 DNB458794 DDF458794 CTJ458794 CJN458794 BZR458794 BPV458794 BFZ458794 AWD458794 AMH458794 ACL458794 SP458794 IT458794 LLV393258 LBZ393258 KSD393258 KIH393258 JYL393258 JOP393258 JET393258 IUX393258 ILB393258 IBF393258 HRJ393258 HHN393258 GXR393258 GNV393258 GDZ393258 FUD393258 FKH393258 FAL393258 EQP393258 EGT393258 DWX393258 DNB393258 DDF393258 CTJ393258 CJN393258 BZR393258 BPV393258 BFZ393258 AWD393258 AMH393258 ACL393258 SP393258 IT393258 LLV327722 LBZ327722 KSD327722 KIH327722 JYL327722 JOP327722 JET327722 IUX327722 ILB327722 IBF327722 HRJ327722 HHN327722 GXR327722 GNV327722 GDZ327722 FUD327722 FKH327722 FAL327722 EQP327722 EGT327722 DWX327722 DNB327722 DDF327722 CTJ327722 CJN327722 BZR327722 BPV327722 BFZ327722 AWD327722 AMH327722 ACL327722 SP327722 IT327722 LLV262186 LBZ262186 KSD262186 KIH262186 JYL262186 JOP262186 JET262186 IUX262186 ILB262186 IBF262186 HRJ262186 HHN262186 GXR262186 GNV262186 GDZ262186 FUD262186 FKH262186 FAL262186 EQP262186 EGT262186 DWX262186 DNB262186 DDF262186 CTJ262186 CJN262186 BZR262186 BPV262186 BFZ262186 AWD262186 AMH262186 ACL262186 SP262186 IT262186 LLV196650 LBZ196650 KSD196650 KIH196650 JYL196650 JOP196650 JET196650 IUX196650 ILB196650 IBF196650 HRJ196650 HHN196650 GXR196650 GNV196650 GDZ196650 FUD196650 FKH196650 FAL196650 EQP196650 EGT196650 DWX196650 DNB196650 DDF196650 CTJ196650 CJN196650 BZR196650 BPV196650 BFZ196650 AWD196650 AMH196650 ACL196650 SP196650 IT196650 LLV131114 LBZ131114 KSD131114 KIH131114 JYL131114 JOP131114 JET131114 IUX131114 ILB131114 IBF131114 HRJ131114 HHN131114 GXR131114 GNV131114 GDZ131114 FUD131114 FKH131114 FAL131114 EQP131114 EGT131114 DWX131114 DNB131114 DDF131114 CTJ131114 CJN131114 BZR131114 BPV131114 BFZ131114 AWD131114 AMH131114 ACL131114 SP131114 IT131114 LLV65578 LBZ65578 KSD65578 KIH65578 JYL65578 JOP65578 JET65578 IUX65578 ILB65578 IBF65578 HRJ65578 HHN65578 GXR65578 GNV65578 GDZ65578 FUD65578 FKH65578 FAL65578 EQP65578 EGT65578 DWX65578 DNB65578 DDF65578 CTJ65578 CJN65578 BZR65578 BPV65578 BFZ65578 AWD65578 AMH65578 ACL65578 SP65578 IT65578 LLN42 LBR42 KRV42 KHZ42 JYD42 JOH42 JEL42 IUP42 IKT42 IAX42 HRB42 HHF42 GXJ42 GNN42 GDR42 FTV42 FJZ42 FAD42 EQH42 EGL42 DWP42 DMT42 DCX42 CTB42 CJF42 BZJ42 BPN42 BFR42 AVV42 ALZ42 ACD42 SH42 IL42" xr:uid="{00000000-0002-0000-0C00-000001000000}">
      <formula1>0</formula1>
    </dataValidation>
    <dataValidation type="whole" allowBlank="1" showInputMessage="1" showErrorMessage="1" prompt="Must be increasing" sqref="A21:A37 A983057:A983077 A917521:A917541 A851985:A852005 A786449:A786469 A720913:A720933 A655377:A655397 A589841:A589861 A524305:A524325 A458769:A458789 A393233:A393253 A327697:A327717 A262161:A262181 A196625:A196645 A131089:A131109 A65553:A65573 LLT983056:LLT983076 LBX983056:LBX983076 KSB983056:KSB983076 KIF983056:KIF983076 JYJ983056:JYJ983076 JON983056:JON983076 JER983056:JER983076 IUV983056:IUV983076 IKZ983056:IKZ983076 IBD983056:IBD983076 HRH983056:HRH983076 HHL983056:HHL983076 GXP983056:GXP983076 GNT983056:GNT983076 GDX983056:GDX983076 FUB983056:FUB983076 FKF983056:FKF983076 FAJ983056:FAJ983076 EQN983056:EQN983076 EGR983056:EGR983076 DWV983056:DWV983076 DMZ983056:DMZ983076 DDD983056:DDD983076 CTH983056:CTH983076 CJL983056:CJL983076 BZP983056:BZP983076 BPT983056:BPT983076 BFX983056:BFX983076 AWB983056:AWB983076 AMF983056:AMF983076 ACJ983056:ACJ983076 SN983056:SN983076 IR983056:IR983076 LLT917520:LLT917540 LBX917520:LBX917540 KSB917520:KSB917540 KIF917520:KIF917540 JYJ917520:JYJ917540 JON917520:JON917540 JER917520:JER917540 IUV917520:IUV917540 IKZ917520:IKZ917540 IBD917520:IBD917540 HRH917520:HRH917540 HHL917520:HHL917540 GXP917520:GXP917540 GNT917520:GNT917540 GDX917520:GDX917540 FUB917520:FUB917540 FKF917520:FKF917540 FAJ917520:FAJ917540 EQN917520:EQN917540 EGR917520:EGR917540 DWV917520:DWV917540 DMZ917520:DMZ917540 DDD917520:DDD917540 CTH917520:CTH917540 CJL917520:CJL917540 BZP917520:BZP917540 BPT917520:BPT917540 BFX917520:BFX917540 AWB917520:AWB917540 AMF917520:AMF917540 ACJ917520:ACJ917540 SN917520:SN917540 IR917520:IR917540 LLT851984:LLT852004 LBX851984:LBX852004 KSB851984:KSB852004 KIF851984:KIF852004 JYJ851984:JYJ852004 JON851984:JON852004 JER851984:JER852004 IUV851984:IUV852004 IKZ851984:IKZ852004 IBD851984:IBD852004 HRH851984:HRH852004 HHL851984:HHL852004 GXP851984:GXP852004 GNT851984:GNT852004 GDX851984:GDX852004 FUB851984:FUB852004 FKF851984:FKF852004 FAJ851984:FAJ852004 EQN851984:EQN852004 EGR851984:EGR852004 DWV851984:DWV852004 DMZ851984:DMZ852004 DDD851984:DDD852004 CTH851984:CTH852004 CJL851984:CJL852004 BZP851984:BZP852004 BPT851984:BPT852004 BFX851984:BFX852004 AWB851984:AWB852004 AMF851984:AMF852004 ACJ851984:ACJ852004 SN851984:SN852004 IR851984:IR852004 LLT786448:LLT786468 LBX786448:LBX786468 KSB786448:KSB786468 KIF786448:KIF786468 JYJ786448:JYJ786468 JON786448:JON786468 JER786448:JER786468 IUV786448:IUV786468 IKZ786448:IKZ786468 IBD786448:IBD786468 HRH786448:HRH786468 HHL786448:HHL786468 GXP786448:GXP786468 GNT786448:GNT786468 GDX786448:GDX786468 FUB786448:FUB786468 FKF786448:FKF786468 FAJ786448:FAJ786468 EQN786448:EQN786468 EGR786448:EGR786468 DWV786448:DWV786468 DMZ786448:DMZ786468 DDD786448:DDD786468 CTH786448:CTH786468 CJL786448:CJL786468 BZP786448:BZP786468 BPT786448:BPT786468 BFX786448:BFX786468 AWB786448:AWB786468 AMF786448:AMF786468 ACJ786448:ACJ786468 SN786448:SN786468 IR786448:IR786468 LLT720912:LLT720932 LBX720912:LBX720932 KSB720912:KSB720932 KIF720912:KIF720932 JYJ720912:JYJ720932 JON720912:JON720932 JER720912:JER720932 IUV720912:IUV720932 IKZ720912:IKZ720932 IBD720912:IBD720932 HRH720912:HRH720932 HHL720912:HHL720932 GXP720912:GXP720932 GNT720912:GNT720932 GDX720912:GDX720932 FUB720912:FUB720932 FKF720912:FKF720932 FAJ720912:FAJ720932 EQN720912:EQN720932 EGR720912:EGR720932 DWV720912:DWV720932 DMZ720912:DMZ720932 DDD720912:DDD720932 CTH720912:CTH720932 CJL720912:CJL720932 BZP720912:BZP720932 BPT720912:BPT720932 BFX720912:BFX720932 AWB720912:AWB720932 AMF720912:AMF720932 ACJ720912:ACJ720932 SN720912:SN720932 IR720912:IR720932 LLT655376:LLT655396 LBX655376:LBX655396 KSB655376:KSB655396 KIF655376:KIF655396 JYJ655376:JYJ655396 JON655376:JON655396 JER655376:JER655396 IUV655376:IUV655396 IKZ655376:IKZ655396 IBD655376:IBD655396 HRH655376:HRH655396 HHL655376:HHL655396 GXP655376:GXP655396 GNT655376:GNT655396 GDX655376:GDX655396 FUB655376:FUB655396 FKF655376:FKF655396 FAJ655376:FAJ655396 EQN655376:EQN655396 EGR655376:EGR655396 DWV655376:DWV655396 DMZ655376:DMZ655396 DDD655376:DDD655396 CTH655376:CTH655396 CJL655376:CJL655396 BZP655376:BZP655396 BPT655376:BPT655396 BFX655376:BFX655396 AWB655376:AWB655396 AMF655376:AMF655396 ACJ655376:ACJ655396 SN655376:SN655396 IR655376:IR655396 LLT589840:LLT589860 LBX589840:LBX589860 KSB589840:KSB589860 KIF589840:KIF589860 JYJ589840:JYJ589860 JON589840:JON589860 JER589840:JER589860 IUV589840:IUV589860 IKZ589840:IKZ589860 IBD589840:IBD589860 HRH589840:HRH589860 HHL589840:HHL589860 GXP589840:GXP589860 GNT589840:GNT589860 GDX589840:GDX589860 FUB589840:FUB589860 FKF589840:FKF589860 FAJ589840:FAJ589860 EQN589840:EQN589860 EGR589840:EGR589860 DWV589840:DWV589860 DMZ589840:DMZ589860 DDD589840:DDD589860 CTH589840:CTH589860 CJL589840:CJL589860 BZP589840:BZP589860 BPT589840:BPT589860 BFX589840:BFX589860 AWB589840:AWB589860 AMF589840:AMF589860 ACJ589840:ACJ589860 SN589840:SN589860 IR589840:IR589860 LLT524304:LLT524324 LBX524304:LBX524324 KSB524304:KSB524324 KIF524304:KIF524324 JYJ524304:JYJ524324 JON524304:JON524324 JER524304:JER524324 IUV524304:IUV524324 IKZ524304:IKZ524324 IBD524304:IBD524324 HRH524304:HRH524324 HHL524304:HHL524324 GXP524304:GXP524324 GNT524304:GNT524324 GDX524304:GDX524324 FUB524304:FUB524324 FKF524304:FKF524324 FAJ524304:FAJ524324 EQN524304:EQN524324 EGR524304:EGR524324 DWV524304:DWV524324 DMZ524304:DMZ524324 DDD524304:DDD524324 CTH524304:CTH524324 CJL524304:CJL524324 BZP524304:BZP524324 BPT524304:BPT524324 BFX524304:BFX524324 AWB524304:AWB524324 AMF524304:AMF524324 ACJ524304:ACJ524324 SN524304:SN524324 IR524304:IR524324 LLT458768:LLT458788 LBX458768:LBX458788 KSB458768:KSB458788 KIF458768:KIF458788 JYJ458768:JYJ458788 JON458768:JON458788 JER458768:JER458788 IUV458768:IUV458788 IKZ458768:IKZ458788 IBD458768:IBD458788 HRH458768:HRH458788 HHL458768:HHL458788 GXP458768:GXP458788 GNT458768:GNT458788 GDX458768:GDX458788 FUB458768:FUB458788 FKF458768:FKF458788 FAJ458768:FAJ458788 EQN458768:EQN458788 EGR458768:EGR458788 DWV458768:DWV458788 DMZ458768:DMZ458788 DDD458768:DDD458788 CTH458768:CTH458788 CJL458768:CJL458788 BZP458768:BZP458788 BPT458768:BPT458788 BFX458768:BFX458788 AWB458768:AWB458788 AMF458768:AMF458788 ACJ458768:ACJ458788 SN458768:SN458788 IR458768:IR458788 LLT393232:LLT393252 LBX393232:LBX393252 KSB393232:KSB393252 KIF393232:KIF393252 JYJ393232:JYJ393252 JON393232:JON393252 JER393232:JER393252 IUV393232:IUV393252 IKZ393232:IKZ393252 IBD393232:IBD393252 HRH393232:HRH393252 HHL393232:HHL393252 GXP393232:GXP393252 GNT393232:GNT393252 GDX393232:GDX393252 FUB393232:FUB393252 FKF393232:FKF393252 FAJ393232:FAJ393252 EQN393232:EQN393252 EGR393232:EGR393252 DWV393232:DWV393252 DMZ393232:DMZ393252 DDD393232:DDD393252 CTH393232:CTH393252 CJL393232:CJL393252 BZP393232:BZP393252 BPT393232:BPT393252 BFX393232:BFX393252 AWB393232:AWB393252 AMF393232:AMF393252 ACJ393232:ACJ393252 SN393232:SN393252 IR393232:IR393252 LLT327696:LLT327716 LBX327696:LBX327716 KSB327696:KSB327716 KIF327696:KIF327716 JYJ327696:JYJ327716 JON327696:JON327716 JER327696:JER327716 IUV327696:IUV327716 IKZ327696:IKZ327716 IBD327696:IBD327716 HRH327696:HRH327716 HHL327696:HHL327716 GXP327696:GXP327716 GNT327696:GNT327716 GDX327696:GDX327716 FUB327696:FUB327716 FKF327696:FKF327716 FAJ327696:FAJ327716 EQN327696:EQN327716 EGR327696:EGR327716 DWV327696:DWV327716 DMZ327696:DMZ327716 DDD327696:DDD327716 CTH327696:CTH327716 CJL327696:CJL327716 BZP327696:BZP327716 BPT327696:BPT327716 BFX327696:BFX327716 AWB327696:AWB327716 AMF327696:AMF327716 ACJ327696:ACJ327716 SN327696:SN327716 IR327696:IR327716 LLT262160:LLT262180 LBX262160:LBX262180 KSB262160:KSB262180 KIF262160:KIF262180 JYJ262160:JYJ262180 JON262160:JON262180 JER262160:JER262180 IUV262160:IUV262180 IKZ262160:IKZ262180 IBD262160:IBD262180 HRH262160:HRH262180 HHL262160:HHL262180 GXP262160:GXP262180 GNT262160:GNT262180 GDX262160:GDX262180 FUB262160:FUB262180 FKF262160:FKF262180 FAJ262160:FAJ262180 EQN262160:EQN262180 EGR262160:EGR262180 DWV262160:DWV262180 DMZ262160:DMZ262180 DDD262160:DDD262180 CTH262160:CTH262180 CJL262160:CJL262180 BZP262160:BZP262180 BPT262160:BPT262180 BFX262160:BFX262180 AWB262160:AWB262180 AMF262160:AMF262180 ACJ262160:ACJ262180 SN262160:SN262180 IR262160:IR262180 LLT196624:LLT196644 LBX196624:LBX196644 KSB196624:KSB196644 KIF196624:KIF196644 JYJ196624:JYJ196644 JON196624:JON196644 JER196624:JER196644 IUV196624:IUV196644 IKZ196624:IKZ196644 IBD196624:IBD196644 HRH196624:HRH196644 HHL196624:HHL196644 GXP196624:GXP196644 GNT196624:GNT196644 GDX196624:GDX196644 FUB196624:FUB196644 FKF196624:FKF196644 FAJ196624:FAJ196644 EQN196624:EQN196644 EGR196624:EGR196644 DWV196624:DWV196644 DMZ196624:DMZ196644 DDD196624:DDD196644 CTH196624:CTH196644 CJL196624:CJL196644 BZP196624:BZP196644 BPT196624:BPT196644 BFX196624:BFX196644 AWB196624:AWB196644 AMF196624:AMF196644 ACJ196624:ACJ196644 SN196624:SN196644 IR196624:IR196644 LLT131088:LLT131108 LBX131088:LBX131108 KSB131088:KSB131108 KIF131088:KIF131108 JYJ131088:JYJ131108 JON131088:JON131108 JER131088:JER131108 IUV131088:IUV131108 IKZ131088:IKZ131108 IBD131088:IBD131108 HRH131088:HRH131108 HHL131088:HHL131108 GXP131088:GXP131108 GNT131088:GNT131108 GDX131088:GDX131108 FUB131088:FUB131108 FKF131088:FKF131108 FAJ131088:FAJ131108 EQN131088:EQN131108 EGR131088:EGR131108 DWV131088:DWV131108 DMZ131088:DMZ131108 DDD131088:DDD131108 CTH131088:CTH131108 CJL131088:CJL131108 BZP131088:BZP131108 BPT131088:BPT131108 BFX131088:BFX131108 AWB131088:AWB131108 AMF131088:AMF131108 ACJ131088:ACJ131108 SN131088:SN131108 IR131088:IR131108 LLT65552:LLT65572 LBX65552:LBX65572 KSB65552:KSB65572 KIF65552:KIF65572 JYJ65552:JYJ65572 JON65552:JON65572 JER65552:JER65572 IUV65552:IUV65572 IKZ65552:IKZ65572 IBD65552:IBD65572 HRH65552:HRH65572 HHL65552:HHL65572 GXP65552:GXP65572 GNT65552:GNT65572 GDX65552:GDX65572 FUB65552:FUB65572 FKF65552:FKF65572 FAJ65552:FAJ65572 EQN65552:EQN65572 EGR65552:EGR65572 DWV65552:DWV65572 DMZ65552:DMZ65572 DDD65552:DDD65572 CTH65552:CTH65572 CJL65552:CJL65572 BZP65552:BZP65572 BPT65552:BPT65572 BFX65552:BFX65572 AWB65552:AWB65572 AMF65552:AMF65572 ACJ65552:ACJ65572 SN65552:SN65572 IR65552:IR65572 LLL16:LLL36 LBP16:LBP36 KRT16:KRT36 KHX16:KHX36 JYB16:JYB36 JOF16:JOF36 JEJ16:JEJ36 IUN16:IUN36 IKR16:IKR36 IAV16:IAV36 HQZ16:HQZ36 HHD16:HHD36 GXH16:GXH36 GNL16:GNL36 GDP16:GDP36 FTT16:FTT36 FJX16:FJX36 FAB16:FAB36 EQF16:EQF36 EGJ16:EGJ36 DWN16:DWN36 DMR16:DMR36 DCV16:DCV36 CSZ16:CSZ36 CJD16:CJD36 BZH16:BZH36 BPL16:BPL36 BFP16:BFP36 AVT16:AVT36 ALX16:ALX36 ACB16:ACB36 SF16:SF36 IJ16:IJ36" xr:uid="{00000000-0002-0000-0C00-000002000000}">
      <formula1>0</formula1>
      <formula2>150</formula2>
    </dataValidation>
    <dataValidation type="decimal" allowBlank="1" showInputMessage="1" showErrorMessage="1" error="Must be a number between 0.25 and 1.50" sqref="D983057:D983077 D917521:D917541 D851985:D852005 D786449:D786469 D720913:D720933 D655377:D655397 D589841:D589861 D524305:D524325 D458769:D458789 D393233:D393253 D327697:D327717 D262161:D262181 D196625:D196645 D131089:D131109 D65553:D65573 LLW983056:LLW983076 LCA983056:LCA983076 KSE983056:KSE983076 KII983056:KII983076 JYM983056:JYM983076 JOQ983056:JOQ983076 JEU983056:JEU983076 IUY983056:IUY983076 ILC983056:ILC983076 IBG983056:IBG983076 HRK983056:HRK983076 HHO983056:HHO983076 GXS983056:GXS983076 GNW983056:GNW983076 GEA983056:GEA983076 FUE983056:FUE983076 FKI983056:FKI983076 FAM983056:FAM983076 EQQ983056:EQQ983076 EGU983056:EGU983076 DWY983056:DWY983076 DNC983056:DNC983076 DDG983056:DDG983076 CTK983056:CTK983076 CJO983056:CJO983076 BZS983056:BZS983076 BPW983056:BPW983076 BGA983056:BGA983076 AWE983056:AWE983076 AMI983056:AMI983076 ACM983056:ACM983076 SQ983056:SQ983076 IU983056:IU983076 LLW917520:LLW917540 LCA917520:LCA917540 KSE917520:KSE917540 KII917520:KII917540 JYM917520:JYM917540 JOQ917520:JOQ917540 JEU917520:JEU917540 IUY917520:IUY917540 ILC917520:ILC917540 IBG917520:IBG917540 HRK917520:HRK917540 HHO917520:HHO917540 GXS917520:GXS917540 GNW917520:GNW917540 GEA917520:GEA917540 FUE917520:FUE917540 FKI917520:FKI917540 FAM917520:FAM917540 EQQ917520:EQQ917540 EGU917520:EGU917540 DWY917520:DWY917540 DNC917520:DNC917540 DDG917520:DDG917540 CTK917520:CTK917540 CJO917520:CJO917540 BZS917520:BZS917540 BPW917520:BPW917540 BGA917520:BGA917540 AWE917520:AWE917540 AMI917520:AMI917540 ACM917520:ACM917540 SQ917520:SQ917540 IU917520:IU917540 LLW851984:LLW852004 LCA851984:LCA852004 KSE851984:KSE852004 KII851984:KII852004 JYM851984:JYM852004 JOQ851984:JOQ852004 JEU851984:JEU852004 IUY851984:IUY852004 ILC851984:ILC852004 IBG851984:IBG852004 HRK851984:HRK852004 HHO851984:HHO852004 GXS851984:GXS852004 GNW851984:GNW852004 GEA851984:GEA852004 FUE851984:FUE852004 FKI851984:FKI852004 FAM851984:FAM852004 EQQ851984:EQQ852004 EGU851984:EGU852004 DWY851984:DWY852004 DNC851984:DNC852004 DDG851984:DDG852004 CTK851984:CTK852004 CJO851984:CJO852004 BZS851984:BZS852004 BPW851984:BPW852004 BGA851984:BGA852004 AWE851984:AWE852004 AMI851984:AMI852004 ACM851984:ACM852004 SQ851984:SQ852004 IU851984:IU852004 LLW786448:LLW786468 LCA786448:LCA786468 KSE786448:KSE786468 KII786448:KII786468 JYM786448:JYM786468 JOQ786448:JOQ786468 JEU786448:JEU786468 IUY786448:IUY786468 ILC786448:ILC786468 IBG786448:IBG786468 HRK786448:HRK786468 HHO786448:HHO786468 GXS786448:GXS786468 GNW786448:GNW786468 GEA786448:GEA786468 FUE786448:FUE786468 FKI786448:FKI786468 FAM786448:FAM786468 EQQ786448:EQQ786468 EGU786448:EGU786468 DWY786448:DWY786468 DNC786448:DNC786468 DDG786448:DDG786468 CTK786448:CTK786468 CJO786448:CJO786468 BZS786448:BZS786468 BPW786448:BPW786468 BGA786448:BGA786468 AWE786448:AWE786468 AMI786448:AMI786468 ACM786448:ACM786468 SQ786448:SQ786468 IU786448:IU786468 LLW720912:LLW720932 LCA720912:LCA720932 KSE720912:KSE720932 KII720912:KII720932 JYM720912:JYM720932 JOQ720912:JOQ720932 JEU720912:JEU720932 IUY720912:IUY720932 ILC720912:ILC720932 IBG720912:IBG720932 HRK720912:HRK720932 HHO720912:HHO720932 GXS720912:GXS720932 GNW720912:GNW720932 GEA720912:GEA720932 FUE720912:FUE720932 FKI720912:FKI720932 FAM720912:FAM720932 EQQ720912:EQQ720932 EGU720912:EGU720932 DWY720912:DWY720932 DNC720912:DNC720932 DDG720912:DDG720932 CTK720912:CTK720932 CJO720912:CJO720932 BZS720912:BZS720932 BPW720912:BPW720932 BGA720912:BGA720932 AWE720912:AWE720932 AMI720912:AMI720932 ACM720912:ACM720932 SQ720912:SQ720932 IU720912:IU720932 LLW655376:LLW655396 LCA655376:LCA655396 KSE655376:KSE655396 KII655376:KII655396 JYM655376:JYM655396 JOQ655376:JOQ655396 JEU655376:JEU655396 IUY655376:IUY655396 ILC655376:ILC655396 IBG655376:IBG655396 HRK655376:HRK655396 HHO655376:HHO655396 GXS655376:GXS655396 GNW655376:GNW655396 GEA655376:GEA655396 FUE655376:FUE655396 FKI655376:FKI655396 FAM655376:FAM655396 EQQ655376:EQQ655396 EGU655376:EGU655396 DWY655376:DWY655396 DNC655376:DNC655396 DDG655376:DDG655396 CTK655376:CTK655396 CJO655376:CJO655396 BZS655376:BZS655396 BPW655376:BPW655396 BGA655376:BGA655396 AWE655376:AWE655396 AMI655376:AMI655396 ACM655376:ACM655396 SQ655376:SQ655396 IU655376:IU655396 LLW589840:LLW589860 LCA589840:LCA589860 KSE589840:KSE589860 KII589840:KII589860 JYM589840:JYM589860 JOQ589840:JOQ589860 JEU589840:JEU589860 IUY589840:IUY589860 ILC589840:ILC589860 IBG589840:IBG589860 HRK589840:HRK589860 HHO589840:HHO589860 GXS589840:GXS589860 GNW589840:GNW589860 GEA589840:GEA589860 FUE589840:FUE589860 FKI589840:FKI589860 FAM589840:FAM589860 EQQ589840:EQQ589860 EGU589840:EGU589860 DWY589840:DWY589860 DNC589840:DNC589860 DDG589840:DDG589860 CTK589840:CTK589860 CJO589840:CJO589860 BZS589840:BZS589860 BPW589840:BPW589860 BGA589840:BGA589860 AWE589840:AWE589860 AMI589840:AMI589860 ACM589840:ACM589860 SQ589840:SQ589860 IU589840:IU589860 LLW524304:LLW524324 LCA524304:LCA524324 KSE524304:KSE524324 KII524304:KII524324 JYM524304:JYM524324 JOQ524304:JOQ524324 JEU524304:JEU524324 IUY524304:IUY524324 ILC524304:ILC524324 IBG524304:IBG524324 HRK524304:HRK524324 HHO524304:HHO524324 GXS524304:GXS524324 GNW524304:GNW524324 GEA524304:GEA524324 FUE524304:FUE524324 FKI524304:FKI524324 FAM524304:FAM524324 EQQ524304:EQQ524324 EGU524304:EGU524324 DWY524304:DWY524324 DNC524304:DNC524324 DDG524304:DDG524324 CTK524304:CTK524324 CJO524304:CJO524324 BZS524304:BZS524324 BPW524304:BPW524324 BGA524304:BGA524324 AWE524304:AWE524324 AMI524304:AMI524324 ACM524304:ACM524324 SQ524304:SQ524324 IU524304:IU524324 LLW458768:LLW458788 LCA458768:LCA458788 KSE458768:KSE458788 KII458768:KII458788 JYM458768:JYM458788 JOQ458768:JOQ458788 JEU458768:JEU458788 IUY458768:IUY458788 ILC458768:ILC458788 IBG458768:IBG458788 HRK458768:HRK458788 HHO458768:HHO458788 GXS458768:GXS458788 GNW458768:GNW458788 GEA458768:GEA458788 FUE458768:FUE458788 FKI458768:FKI458788 FAM458768:FAM458788 EQQ458768:EQQ458788 EGU458768:EGU458788 DWY458768:DWY458788 DNC458768:DNC458788 DDG458768:DDG458788 CTK458768:CTK458788 CJO458768:CJO458788 BZS458768:BZS458788 BPW458768:BPW458788 BGA458768:BGA458788 AWE458768:AWE458788 AMI458768:AMI458788 ACM458768:ACM458788 SQ458768:SQ458788 IU458768:IU458788 LLW393232:LLW393252 LCA393232:LCA393252 KSE393232:KSE393252 KII393232:KII393252 JYM393232:JYM393252 JOQ393232:JOQ393252 JEU393232:JEU393252 IUY393232:IUY393252 ILC393232:ILC393252 IBG393232:IBG393252 HRK393232:HRK393252 HHO393232:HHO393252 GXS393232:GXS393252 GNW393232:GNW393252 GEA393232:GEA393252 FUE393232:FUE393252 FKI393232:FKI393252 FAM393232:FAM393252 EQQ393232:EQQ393252 EGU393232:EGU393252 DWY393232:DWY393252 DNC393232:DNC393252 DDG393232:DDG393252 CTK393232:CTK393252 CJO393232:CJO393252 BZS393232:BZS393252 BPW393232:BPW393252 BGA393232:BGA393252 AWE393232:AWE393252 AMI393232:AMI393252 ACM393232:ACM393252 SQ393232:SQ393252 IU393232:IU393252 LLW327696:LLW327716 LCA327696:LCA327716 KSE327696:KSE327716 KII327696:KII327716 JYM327696:JYM327716 JOQ327696:JOQ327716 JEU327696:JEU327716 IUY327696:IUY327716 ILC327696:ILC327716 IBG327696:IBG327716 HRK327696:HRK327716 HHO327696:HHO327716 GXS327696:GXS327716 GNW327696:GNW327716 GEA327696:GEA327716 FUE327696:FUE327716 FKI327696:FKI327716 FAM327696:FAM327716 EQQ327696:EQQ327716 EGU327696:EGU327716 DWY327696:DWY327716 DNC327696:DNC327716 DDG327696:DDG327716 CTK327696:CTK327716 CJO327696:CJO327716 BZS327696:BZS327716 BPW327696:BPW327716 BGA327696:BGA327716 AWE327696:AWE327716 AMI327696:AMI327716 ACM327696:ACM327716 SQ327696:SQ327716 IU327696:IU327716 LLW262160:LLW262180 LCA262160:LCA262180 KSE262160:KSE262180 KII262160:KII262180 JYM262160:JYM262180 JOQ262160:JOQ262180 JEU262160:JEU262180 IUY262160:IUY262180 ILC262160:ILC262180 IBG262160:IBG262180 HRK262160:HRK262180 HHO262160:HHO262180 GXS262160:GXS262180 GNW262160:GNW262180 GEA262160:GEA262180 FUE262160:FUE262180 FKI262160:FKI262180 FAM262160:FAM262180 EQQ262160:EQQ262180 EGU262160:EGU262180 DWY262160:DWY262180 DNC262160:DNC262180 DDG262160:DDG262180 CTK262160:CTK262180 CJO262160:CJO262180 BZS262160:BZS262180 BPW262160:BPW262180 BGA262160:BGA262180 AWE262160:AWE262180 AMI262160:AMI262180 ACM262160:ACM262180 SQ262160:SQ262180 IU262160:IU262180 LLW196624:LLW196644 LCA196624:LCA196644 KSE196624:KSE196644 KII196624:KII196644 JYM196624:JYM196644 JOQ196624:JOQ196644 JEU196624:JEU196644 IUY196624:IUY196644 ILC196624:ILC196644 IBG196624:IBG196644 HRK196624:HRK196644 HHO196624:HHO196644 GXS196624:GXS196644 GNW196624:GNW196644 GEA196624:GEA196644 FUE196624:FUE196644 FKI196624:FKI196644 FAM196624:FAM196644 EQQ196624:EQQ196644 EGU196624:EGU196644 DWY196624:DWY196644 DNC196624:DNC196644 DDG196624:DDG196644 CTK196624:CTK196644 CJO196624:CJO196644 BZS196624:BZS196644 BPW196624:BPW196644 BGA196624:BGA196644 AWE196624:AWE196644 AMI196624:AMI196644 ACM196624:ACM196644 SQ196624:SQ196644 IU196624:IU196644 LLW131088:LLW131108 LCA131088:LCA131108 KSE131088:KSE131108 KII131088:KII131108 JYM131088:JYM131108 JOQ131088:JOQ131108 JEU131088:JEU131108 IUY131088:IUY131108 ILC131088:ILC131108 IBG131088:IBG131108 HRK131088:HRK131108 HHO131088:HHO131108 GXS131088:GXS131108 GNW131088:GNW131108 GEA131088:GEA131108 FUE131088:FUE131108 FKI131088:FKI131108 FAM131088:FAM131108 EQQ131088:EQQ131108 EGU131088:EGU131108 DWY131088:DWY131108 DNC131088:DNC131108 DDG131088:DDG131108 CTK131088:CTK131108 CJO131088:CJO131108 BZS131088:BZS131108 BPW131088:BPW131108 BGA131088:BGA131108 AWE131088:AWE131108 AMI131088:AMI131108 ACM131088:ACM131108 SQ131088:SQ131108 IU131088:IU131108 LLW65552:LLW65572 LCA65552:LCA65572 KSE65552:KSE65572 KII65552:KII65572 JYM65552:JYM65572 JOQ65552:JOQ65572 JEU65552:JEU65572 IUY65552:IUY65572 ILC65552:ILC65572 IBG65552:IBG65572 HRK65552:HRK65572 HHO65552:HHO65572 GXS65552:GXS65572 GNW65552:GNW65572 GEA65552:GEA65572 FUE65552:FUE65572 FKI65552:FKI65572 FAM65552:FAM65572 EQQ65552:EQQ65572 EGU65552:EGU65572 DWY65552:DWY65572 DNC65552:DNC65572 DDG65552:DDG65572 CTK65552:CTK65572 CJO65552:CJO65572 BZS65552:BZS65572 BPW65552:BPW65572 BGA65552:BGA65572 AWE65552:AWE65572 AMI65552:AMI65572 ACM65552:ACM65572 SQ65552:SQ65572 IU65552:IU65572 LLO16:LLO36 LBS16:LBS36 KRW16:KRW36 KIA16:KIA36 JYE16:JYE36 JOI16:JOI36 JEM16:JEM36 IUQ16:IUQ36 IKU16:IKU36 IAY16:IAY36 HRC16:HRC36 HHG16:HHG36 GXK16:GXK36 GNO16:GNO36 GDS16:GDS36 FTW16:FTW36 FKA16:FKA36 FAE16:FAE36 EQI16:EQI36 EGM16:EGM36 DWQ16:DWQ36 DMU16:DMU36 DCY16:DCY36 CTC16:CTC36 CJG16:CJG36 BZK16:BZK36 BPO16:BPO36 BFS16:BFS36 AVW16:AVW36 AMA16:AMA36 ACE16:ACE36 SI16:SI36 IM16:IM36" xr:uid="{00000000-0002-0000-0C00-000003000000}">
      <formula1>0.25</formula1>
      <formula2>1.5</formula2>
    </dataValidation>
    <dataValidation type="decimal" allowBlank="1" showInputMessage="1" showErrorMessage="1" error="Must be a number between 1.0 and 5.0" sqref="E983057:E983077 E917521:E917541 E851985:E852005 E786449:E786469 E720913:E720933 E655377:E655397 E589841:E589861 E524305:E524325 E458769:E458789 E393233:E393253 E327697:E327717 E262161:E262181 E196625:E196645 E131089:E131109 E65553:E65573 LLX983056:LLX983076 LCB983056:LCB983076 KSF983056:KSF983076 KIJ983056:KIJ983076 JYN983056:JYN983076 JOR983056:JOR983076 JEV983056:JEV983076 IUZ983056:IUZ983076 ILD983056:ILD983076 IBH983056:IBH983076 HRL983056:HRL983076 HHP983056:HHP983076 GXT983056:GXT983076 GNX983056:GNX983076 GEB983056:GEB983076 FUF983056:FUF983076 FKJ983056:FKJ983076 FAN983056:FAN983076 EQR983056:EQR983076 EGV983056:EGV983076 DWZ983056:DWZ983076 DND983056:DND983076 DDH983056:DDH983076 CTL983056:CTL983076 CJP983056:CJP983076 BZT983056:BZT983076 BPX983056:BPX983076 BGB983056:BGB983076 AWF983056:AWF983076 AMJ983056:AMJ983076 ACN983056:ACN983076 SR983056:SR983076 IV983056:IV983076 LLX917520:LLX917540 LCB917520:LCB917540 KSF917520:KSF917540 KIJ917520:KIJ917540 JYN917520:JYN917540 JOR917520:JOR917540 JEV917520:JEV917540 IUZ917520:IUZ917540 ILD917520:ILD917540 IBH917520:IBH917540 HRL917520:HRL917540 HHP917520:HHP917540 GXT917520:GXT917540 GNX917520:GNX917540 GEB917520:GEB917540 FUF917520:FUF917540 FKJ917520:FKJ917540 FAN917520:FAN917540 EQR917520:EQR917540 EGV917520:EGV917540 DWZ917520:DWZ917540 DND917520:DND917540 DDH917520:DDH917540 CTL917520:CTL917540 CJP917520:CJP917540 BZT917520:BZT917540 BPX917520:BPX917540 BGB917520:BGB917540 AWF917520:AWF917540 AMJ917520:AMJ917540 ACN917520:ACN917540 SR917520:SR917540 IV917520:IV917540 LLX851984:LLX852004 LCB851984:LCB852004 KSF851984:KSF852004 KIJ851984:KIJ852004 JYN851984:JYN852004 JOR851984:JOR852004 JEV851984:JEV852004 IUZ851984:IUZ852004 ILD851984:ILD852004 IBH851984:IBH852004 HRL851984:HRL852004 HHP851984:HHP852004 GXT851984:GXT852004 GNX851984:GNX852004 GEB851984:GEB852004 FUF851984:FUF852004 FKJ851984:FKJ852004 FAN851984:FAN852004 EQR851984:EQR852004 EGV851984:EGV852004 DWZ851984:DWZ852004 DND851984:DND852004 DDH851984:DDH852004 CTL851984:CTL852004 CJP851984:CJP852004 BZT851984:BZT852004 BPX851984:BPX852004 BGB851984:BGB852004 AWF851984:AWF852004 AMJ851984:AMJ852004 ACN851984:ACN852004 SR851984:SR852004 IV851984:IV852004 LLX786448:LLX786468 LCB786448:LCB786468 KSF786448:KSF786468 KIJ786448:KIJ786468 JYN786448:JYN786468 JOR786448:JOR786468 JEV786448:JEV786468 IUZ786448:IUZ786468 ILD786448:ILD786468 IBH786448:IBH786468 HRL786448:HRL786468 HHP786448:HHP786468 GXT786448:GXT786468 GNX786448:GNX786468 GEB786448:GEB786468 FUF786448:FUF786468 FKJ786448:FKJ786468 FAN786448:FAN786468 EQR786448:EQR786468 EGV786448:EGV786468 DWZ786448:DWZ786468 DND786448:DND786468 DDH786448:DDH786468 CTL786448:CTL786468 CJP786448:CJP786468 BZT786448:BZT786468 BPX786448:BPX786468 BGB786448:BGB786468 AWF786448:AWF786468 AMJ786448:AMJ786468 ACN786448:ACN786468 SR786448:SR786468 IV786448:IV786468 LLX720912:LLX720932 LCB720912:LCB720932 KSF720912:KSF720932 KIJ720912:KIJ720932 JYN720912:JYN720932 JOR720912:JOR720932 JEV720912:JEV720932 IUZ720912:IUZ720932 ILD720912:ILD720932 IBH720912:IBH720932 HRL720912:HRL720932 HHP720912:HHP720932 GXT720912:GXT720932 GNX720912:GNX720932 GEB720912:GEB720932 FUF720912:FUF720932 FKJ720912:FKJ720932 FAN720912:FAN720932 EQR720912:EQR720932 EGV720912:EGV720932 DWZ720912:DWZ720932 DND720912:DND720932 DDH720912:DDH720932 CTL720912:CTL720932 CJP720912:CJP720932 BZT720912:BZT720932 BPX720912:BPX720932 BGB720912:BGB720932 AWF720912:AWF720932 AMJ720912:AMJ720932 ACN720912:ACN720932 SR720912:SR720932 IV720912:IV720932 LLX655376:LLX655396 LCB655376:LCB655396 KSF655376:KSF655396 KIJ655376:KIJ655396 JYN655376:JYN655396 JOR655376:JOR655396 JEV655376:JEV655396 IUZ655376:IUZ655396 ILD655376:ILD655396 IBH655376:IBH655396 HRL655376:HRL655396 HHP655376:HHP655396 GXT655376:GXT655396 GNX655376:GNX655396 GEB655376:GEB655396 FUF655376:FUF655396 FKJ655376:FKJ655396 FAN655376:FAN655396 EQR655376:EQR655396 EGV655376:EGV655396 DWZ655376:DWZ655396 DND655376:DND655396 DDH655376:DDH655396 CTL655376:CTL655396 CJP655376:CJP655396 BZT655376:BZT655396 BPX655376:BPX655396 BGB655376:BGB655396 AWF655376:AWF655396 AMJ655376:AMJ655396 ACN655376:ACN655396 SR655376:SR655396 IV655376:IV655396 LLX589840:LLX589860 LCB589840:LCB589860 KSF589840:KSF589860 KIJ589840:KIJ589860 JYN589840:JYN589860 JOR589840:JOR589860 JEV589840:JEV589860 IUZ589840:IUZ589860 ILD589840:ILD589860 IBH589840:IBH589860 HRL589840:HRL589860 HHP589840:HHP589860 GXT589840:GXT589860 GNX589840:GNX589860 GEB589840:GEB589860 FUF589840:FUF589860 FKJ589840:FKJ589860 FAN589840:FAN589860 EQR589840:EQR589860 EGV589840:EGV589860 DWZ589840:DWZ589860 DND589840:DND589860 DDH589840:DDH589860 CTL589840:CTL589860 CJP589840:CJP589860 BZT589840:BZT589860 BPX589840:BPX589860 BGB589840:BGB589860 AWF589840:AWF589860 AMJ589840:AMJ589860 ACN589840:ACN589860 SR589840:SR589860 IV589840:IV589860 LLX524304:LLX524324 LCB524304:LCB524324 KSF524304:KSF524324 KIJ524304:KIJ524324 JYN524304:JYN524324 JOR524304:JOR524324 JEV524304:JEV524324 IUZ524304:IUZ524324 ILD524304:ILD524324 IBH524304:IBH524324 HRL524304:HRL524324 HHP524304:HHP524324 GXT524304:GXT524324 GNX524304:GNX524324 GEB524304:GEB524324 FUF524304:FUF524324 FKJ524304:FKJ524324 FAN524304:FAN524324 EQR524304:EQR524324 EGV524304:EGV524324 DWZ524304:DWZ524324 DND524304:DND524324 DDH524304:DDH524324 CTL524304:CTL524324 CJP524304:CJP524324 BZT524304:BZT524324 BPX524304:BPX524324 BGB524304:BGB524324 AWF524304:AWF524324 AMJ524304:AMJ524324 ACN524304:ACN524324 SR524304:SR524324 IV524304:IV524324 LLX458768:LLX458788 LCB458768:LCB458788 KSF458768:KSF458788 KIJ458768:KIJ458788 JYN458768:JYN458788 JOR458768:JOR458788 JEV458768:JEV458788 IUZ458768:IUZ458788 ILD458768:ILD458788 IBH458768:IBH458788 HRL458768:HRL458788 HHP458768:HHP458788 GXT458768:GXT458788 GNX458768:GNX458788 GEB458768:GEB458788 FUF458768:FUF458788 FKJ458768:FKJ458788 FAN458768:FAN458788 EQR458768:EQR458788 EGV458768:EGV458788 DWZ458768:DWZ458788 DND458768:DND458788 DDH458768:DDH458788 CTL458768:CTL458788 CJP458768:CJP458788 BZT458768:BZT458788 BPX458768:BPX458788 BGB458768:BGB458788 AWF458768:AWF458788 AMJ458768:AMJ458788 ACN458768:ACN458788 SR458768:SR458788 IV458768:IV458788 LLX393232:LLX393252 LCB393232:LCB393252 KSF393232:KSF393252 KIJ393232:KIJ393252 JYN393232:JYN393252 JOR393232:JOR393252 JEV393232:JEV393252 IUZ393232:IUZ393252 ILD393232:ILD393252 IBH393232:IBH393252 HRL393232:HRL393252 HHP393232:HHP393252 GXT393232:GXT393252 GNX393232:GNX393252 GEB393232:GEB393252 FUF393232:FUF393252 FKJ393232:FKJ393252 FAN393232:FAN393252 EQR393232:EQR393252 EGV393232:EGV393252 DWZ393232:DWZ393252 DND393232:DND393252 DDH393232:DDH393252 CTL393232:CTL393252 CJP393232:CJP393252 BZT393232:BZT393252 BPX393232:BPX393252 BGB393232:BGB393252 AWF393232:AWF393252 AMJ393232:AMJ393252 ACN393232:ACN393252 SR393232:SR393252 IV393232:IV393252 LLX327696:LLX327716 LCB327696:LCB327716 KSF327696:KSF327716 KIJ327696:KIJ327716 JYN327696:JYN327716 JOR327696:JOR327716 JEV327696:JEV327716 IUZ327696:IUZ327716 ILD327696:ILD327716 IBH327696:IBH327716 HRL327696:HRL327716 HHP327696:HHP327716 GXT327696:GXT327716 GNX327696:GNX327716 GEB327696:GEB327716 FUF327696:FUF327716 FKJ327696:FKJ327716 FAN327696:FAN327716 EQR327696:EQR327716 EGV327696:EGV327716 DWZ327696:DWZ327716 DND327696:DND327716 DDH327696:DDH327716 CTL327696:CTL327716 CJP327696:CJP327716 BZT327696:BZT327716 BPX327696:BPX327716 BGB327696:BGB327716 AWF327696:AWF327716 AMJ327696:AMJ327716 ACN327696:ACN327716 SR327696:SR327716 IV327696:IV327716 LLX262160:LLX262180 LCB262160:LCB262180 KSF262160:KSF262180 KIJ262160:KIJ262180 JYN262160:JYN262180 JOR262160:JOR262180 JEV262160:JEV262180 IUZ262160:IUZ262180 ILD262160:ILD262180 IBH262160:IBH262180 HRL262160:HRL262180 HHP262160:HHP262180 GXT262160:GXT262180 GNX262160:GNX262180 GEB262160:GEB262180 FUF262160:FUF262180 FKJ262160:FKJ262180 FAN262160:FAN262180 EQR262160:EQR262180 EGV262160:EGV262180 DWZ262160:DWZ262180 DND262160:DND262180 DDH262160:DDH262180 CTL262160:CTL262180 CJP262160:CJP262180 BZT262160:BZT262180 BPX262160:BPX262180 BGB262160:BGB262180 AWF262160:AWF262180 AMJ262160:AMJ262180 ACN262160:ACN262180 SR262160:SR262180 IV262160:IV262180 LLX196624:LLX196644 LCB196624:LCB196644 KSF196624:KSF196644 KIJ196624:KIJ196644 JYN196624:JYN196644 JOR196624:JOR196644 JEV196624:JEV196644 IUZ196624:IUZ196644 ILD196624:ILD196644 IBH196624:IBH196644 HRL196624:HRL196644 HHP196624:HHP196644 GXT196624:GXT196644 GNX196624:GNX196644 GEB196624:GEB196644 FUF196624:FUF196644 FKJ196624:FKJ196644 FAN196624:FAN196644 EQR196624:EQR196644 EGV196624:EGV196644 DWZ196624:DWZ196644 DND196624:DND196644 DDH196624:DDH196644 CTL196624:CTL196644 CJP196624:CJP196644 BZT196624:BZT196644 BPX196624:BPX196644 BGB196624:BGB196644 AWF196624:AWF196644 AMJ196624:AMJ196644 ACN196624:ACN196644 SR196624:SR196644 IV196624:IV196644 LLX131088:LLX131108 LCB131088:LCB131108 KSF131088:KSF131108 KIJ131088:KIJ131108 JYN131088:JYN131108 JOR131088:JOR131108 JEV131088:JEV131108 IUZ131088:IUZ131108 ILD131088:ILD131108 IBH131088:IBH131108 HRL131088:HRL131108 HHP131088:HHP131108 GXT131088:GXT131108 GNX131088:GNX131108 GEB131088:GEB131108 FUF131088:FUF131108 FKJ131088:FKJ131108 FAN131088:FAN131108 EQR131088:EQR131108 EGV131088:EGV131108 DWZ131088:DWZ131108 DND131088:DND131108 DDH131088:DDH131108 CTL131088:CTL131108 CJP131088:CJP131108 BZT131088:BZT131108 BPX131088:BPX131108 BGB131088:BGB131108 AWF131088:AWF131108 AMJ131088:AMJ131108 ACN131088:ACN131108 SR131088:SR131108 IV131088:IV131108 LLX65552:LLX65572 LCB65552:LCB65572 KSF65552:KSF65572 KIJ65552:KIJ65572 JYN65552:JYN65572 JOR65552:JOR65572 JEV65552:JEV65572 IUZ65552:IUZ65572 ILD65552:ILD65572 IBH65552:IBH65572 HRL65552:HRL65572 HHP65552:HHP65572 GXT65552:GXT65572 GNX65552:GNX65572 GEB65552:GEB65572 FUF65552:FUF65572 FKJ65552:FKJ65572 FAN65552:FAN65572 EQR65552:EQR65572 EGV65552:EGV65572 DWZ65552:DWZ65572 DND65552:DND65572 DDH65552:DDH65572 CTL65552:CTL65572 CJP65552:CJP65572 BZT65552:BZT65572 BPX65552:BPX65572 BGB65552:BGB65572 AWF65552:AWF65572 AMJ65552:AMJ65572 ACN65552:ACN65572 SR65552:SR65572 IV65552:IV65572 LLP16:LLP36 LBT16:LBT36 KRX16:KRX36 KIB16:KIB36 JYF16:JYF36 JOJ16:JOJ36 JEN16:JEN36 IUR16:IUR36 IKV16:IKV36 IAZ16:IAZ36 HRD16:HRD36 HHH16:HHH36 GXL16:GXL36 GNP16:GNP36 GDT16:GDT36 FTX16:FTX36 FKB16:FKB36 FAF16:FAF36 EQJ16:EQJ36 EGN16:EGN36 DWR16:DWR36 DMV16:DMV36 DCZ16:DCZ36 CTD16:CTD36 CJH16:CJH36 BZL16:BZL36 BPP16:BPP36 BFT16:BFT36 AVX16:AVX36 AMB16:AMB36 ACF16:ACF36 SJ16:SJ36 IN16:IN36" xr:uid="{00000000-0002-0000-0C00-000004000000}">
      <formula1>1</formula1>
      <formula2>5</formula2>
    </dataValidation>
    <dataValidation type="list" allowBlank="1" showInputMessage="1" showErrorMessage="1" sqref="B983055 B917519 B851983 B786447 B720911 B655375 B589839 B524303 B458767 B393231 B327695 B262159 B196623 B131087 B65551 LLU983054 LBY983054 KSC983054 KIG983054 JYK983054 JOO983054 JES983054 IUW983054 ILA983054 IBE983054 HRI983054 HHM983054 GXQ983054 GNU983054 GDY983054 FUC983054 FKG983054 FAK983054 EQO983054 EGS983054 DWW983054 DNA983054 DDE983054 CTI983054 CJM983054 BZQ983054 BPU983054 BFY983054 AWC983054 AMG983054 ACK983054 SO983054 IS983054 LLU917518 LBY917518 KSC917518 KIG917518 JYK917518 JOO917518 JES917518 IUW917518 ILA917518 IBE917518 HRI917518 HHM917518 GXQ917518 GNU917518 GDY917518 FUC917518 FKG917518 FAK917518 EQO917518 EGS917518 DWW917518 DNA917518 DDE917518 CTI917518 CJM917518 BZQ917518 BPU917518 BFY917518 AWC917518 AMG917518 ACK917518 SO917518 IS917518 LLU851982 LBY851982 KSC851982 KIG851982 JYK851982 JOO851982 JES851982 IUW851982 ILA851982 IBE851982 HRI851982 HHM851982 GXQ851982 GNU851982 GDY851982 FUC851982 FKG851982 FAK851982 EQO851982 EGS851982 DWW851982 DNA851982 DDE851982 CTI851982 CJM851982 BZQ851982 BPU851982 BFY851982 AWC851982 AMG851982 ACK851982 SO851982 IS851982 LLU786446 LBY786446 KSC786446 KIG786446 JYK786446 JOO786446 JES786446 IUW786446 ILA786446 IBE786446 HRI786446 HHM786446 GXQ786446 GNU786446 GDY786446 FUC786446 FKG786446 FAK786446 EQO786446 EGS786446 DWW786446 DNA786446 DDE786446 CTI786446 CJM786446 BZQ786446 BPU786446 BFY786446 AWC786446 AMG786446 ACK786446 SO786446 IS786446 LLU720910 LBY720910 KSC720910 KIG720910 JYK720910 JOO720910 JES720910 IUW720910 ILA720910 IBE720910 HRI720910 HHM720910 GXQ720910 GNU720910 GDY720910 FUC720910 FKG720910 FAK720910 EQO720910 EGS720910 DWW720910 DNA720910 DDE720910 CTI720910 CJM720910 BZQ720910 BPU720910 BFY720910 AWC720910 AMG720910 ACK720910 SO720910 IS720910 LLU655374 LBY655374 KSC655374 KIG655374 JYK655374 JOO655374 JES655374 IUW655374 ILA655374 IBE655374 HRI655374 HHM655374 GXQ655374 GNU655374 GDY655374 FUC655374 FKG655374 FAK655374 EQO655374 EGS655374 DWW655374 DNA655374 DDE655374 CTI655374 CJM655374 BZQ655374 BPU655374 BFY655374 AWC655374 AMG655374 ACK655374 SO655374 IS655374 LLU589838 LBY589838 KSC589838 KIG589838 JYK589838 JOO589838 JES589838 IUW589838 ILA589838 IBE589838 HRI589838 HHM589838 GXQ589838 GNU589838 GDY589838 FUC589838 FKG589838 FAK589838 EQO589838 EGS589838 DWW589838 DNA589838 DDE589838 CTI589838 CJM589838 BZQ589838 BPU589838 BFY589838 AWC589838 AMG589838 ACK589838 SO589838 IS589838 LLU524302 LBY524302 KSC524302 KIG524302 JYK524302 JOO524302 JES524302 IUW524302 ILA524302 IBE524302 HRI524302 HHM524302 GXQ524302 GNU524302 GDY524302 FUC524302 FKG524302 FAK524302 EQO524302 EGS524302 DWW524302 DNA524302 DDE524302 CTI524302 CJM524302 BZQ524302 BPU524302 BFY524302 AWC524302 AMG524302 ACK524302 SO524302 IS524302 LLU458766 LBY458766 KSC458766 KIG458766 JYK458766 JOO458766 JES458766 IUW458766 ILA458766 IBE458766 HRI458766 HHM458766 GXQ458766 GNU458766 GDY458766 FUC458766 FKG458766 FAK458766 EQO458766 EGS458766 DWW458766 DNA458766 DDE458766 CTI458766 CJM458766 BZQ458766 BPU458766 BFY458766 AWC458766 AMG458766 ACK458766 SO458766 IS458766 LLU393230 LBY393230 KSC393230 KIG393230 JYK393230 JOO393230 JES393230 IUW393230 ILA393230 IBE393230 HRI393230 HHM393230 GXQ393230 GNU393230 GDY393230 FUC393230 FKG393230 FAK393230 EQO393230 EGS393230 DWW393230 DNA393230 DDE393230 CTI393230 CJM393230 BZQ393230 BPU393230 BFY393230 AWC393230 AMG393230 ACK393230 SO393230 IS393230 LLU327694 LBY327694 KSC327694 KIG327694 JYK327694 JOO327694 JES327694 IUW327694 ILA327694 IBE327694 HRI327694 HHM327694 GXQ327694 GNU327694 GDY327694 FUC327694 FKG327694 FAK327694 EQO327694 EGS327694 DWW327694 DNA327694 DDE327694 CTI327694 CJM327694 BZQ327694 BPU327694 BFY327694 AWC327694 AMG327694 ACK327694 SO327694 IS327694 LLU262158 LBY262158 KSC262158 KIG262158 JYK262158 JOO262158 JES262158 IUW262158 ILA262158 IBE262158 HRI262158 HHM262158 GXQ262158 GNU262158 GDY262158 FUC262158 FKG262158 FAK262158 EQO262158 EGS262158 DWW262158 DNA262158 DDE262158 CTI262158 CJM262158 BZQ262158 BPU262158 BFY262158 AWC262158 AMG262158 ACK262158 SO262158 IS262158 LLU196622 LBY196622 KSC196622 KIG196622 JYK196622 JOO196622 JES196622 IUW196622 ILA196622 IBE196622 HRI196622 HHM196622 GXQ196622 GNU196622 GDY196622 FUC196622 FKG196622 FAK196622 EQO196622 EGS196622 DWW196622 DNA196622 DDE196622 CTI196622 CJM196622 BZQ196622 BPU196622 BFY196622 AWC196622 AMG196622 ACK196622 SO196622 IS196622 LLU131086 LBY131086 KSC131086 KIG131086 JYK131086 JOO131086 JES131086 IUW131086 ILA131086 IBE131086 HRI131086 HHM131086 GXQ131086 GNU131086 GDY131086 FUC131086 FKG131086 FAK131086 EQO131086 EGS131086 DWW131086 DNA131086 DDE131086 CTI131086 CJM131086 BZQ131086 BPU131086 BFY131086 AWC131086 AMG131086 ACK131086 SO131086 IS131086 LLU65550 LBY65550 KSC65550 KIG65550 JYK65550 JOO65550 JES65550 IUW65550 ILA65550 IBE65550 HRI65550 HHM65550 GXQ65550 GNU65550 GDY65550 FUC65550 FKG65550 FAK65550 EQO65550 EGS65550 DWW65550 DNA65550 DDE65550 CTI65550 CJM65550 BZQ65550 BPU65550 BFY65550 AWC65550 AMG65550 ACK65550 SO65550 IS65550 LLM15 LBQ15 KRU15 KHY15 JYC15 JOG15 JEK15 IUO15 IKS15 IAW15 HRA15 HHE15 GXI15 GNM15 GDQ15 FTU15 FJY15 FAC15 EQG15 EGK15 DWO15 DMS15 DCW15 CTA15 CJE15 BZI15 BPM15 BFQ15 AVU15 ALY15 ACC15 SG15 IK15" xr:uid="{00000000-0002-0000-0C00-000005000000}">
      <formula1>TreeGrowth</formula1>
    </dataValidation>
    <dataValidation type="list" allowBlank="1" showInputMessage="1" showErrorMessage="1" sqref="G10:G11" xr:uid="{00000000-0002-0000-0C00-000006000000}">
      <formula1>"Yes,No"</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Drop Down 1">
              <controlPr defaultSize="0" autoLine="0" autoPict="0">
                <anchor>
                  <from>
                    <xdr:col>27</xdr:col>
                    <xdr:colOff>695325</xdr:colOff>
                    <xdr:row>15</xdr:row>
                    <xdr:rowOff>38100</xdr:rowOff>
                  </from>
                  <to>
                    <xdr:col>30</xdr:col>
                    <xdr:colOff>238125</xdr:colOff>
                    <xdr:row>16</xdr:row>
                    <xdr:rowOff>38100</xdr:rowOff>
                  </to>
                </anchor>
              </controlPr>
            </control>
          </mc:Choice>
        </mc:AlternateContent>
      </controls>
    </mc:Choice>
  </mc:AlternateContent>
  <tableParts count="1">
    <tablePart r:id="rId5"/>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Hoja10"/>
  <dimension ref="B1:M32"/>
  <sheetViews>
    <sheetView showGridLines="0" zoomScaleNormal="100" workbookViewId="0">
      <pane ySplit="1" topLeftCell="A4" activePane="bottomLeft" state="frozen"/>
      <selection activeCell="C1" sqref="C1"/>
      <selection pane="bottomLeft" activeCell="A4" sqref="A4"/>
    </sheetView>
  </sheetViews>
  <sheetFormatPr defaultColWidth="11.42578125" defaultRowHeight="15" x14ac:dyDescent="0.25"/>
  <cols>
    <col min="1" max="1" width="7.140625" style="53" customWidth="1"/>
    <col min="2" max="2" width="13.140625" style="6" customWidth="1"/>
    <col min="3" max="6" width="12.42578125" style="53" customWidth="1"/>
    <col min="7" max="7" width="20.7109375" style="52" customWidth="1"/>
    <col min="8" max="8" width="12.7109375" style="53" customWidth="1"/>
    <col min="9" max="9" width="16.28515625" style="53" customWidth="1"/>
    <col min="10" max="13" width="9" style="53" customWidth="1"/>
    <col min="14" max="16384" width="11.42578125" style="53"/>
  </cols>
  <sheetData>
    <row r="1" spans="2:13" s="32" customFormat="1" ht="120" customHeight="1" x14ac:dyDescent="0.25">
      <c r="B1" s="101"/>
    </row>
    <row r="2" spans="2:13" ht="33" customHeight="1" thickBot="1" x14ac:dyDescent="0.35">
      <c r="B2" s="99"/>
      <c r="C2" s="8" t="s">
        <v>1577</v>
      </c>
      <c r="D2" s="34"/>
      <c r="E2" s="34"/>
      <c r="F2" s="34"/>
      <c r="G2" s="53"/>
    </row>
    <row r="3" spans="2:13" ht="52.5" customHeight="1" x14ac:dyDescent="0.25">
      <c r="B3" s="99"/>
      <c r="C3" s="616" t="str">
        <f>IF(Accuracy!E19="Yes","You indicated under General Information, Scope of assessment that you have your own volume growth models. If your models are not annual, please go to the Growth model tab and establish an annual model using your data.","You indicated under General Information, Scope of assessment that you do not have volume growth models. Please go to the Growth model tab and develop growth models for the different strata.")</f>
        <v>You indicated under General Information, Scope of assessment that you do not have volume growth models. Please go to the Growth model tab and develop growth models for the different strata.</v>
      </c>
      <c r="D3" s="617"/>
      <c r="E3" s="617"/>
      <c r="F3" s="617"/>
      <c r="G3" s="618"/>
      <c r="H3" s="289"/>
      <c r="I3" s="289"/>
      <c r="J3" s="447"/>
    </row>
    <row r="4" spans="2:13" ht="98.25" customHeight="1" x14ac:dyDescent="0.25">
      <c r="B4" s="99"/>
      <c r="C4" s="619" t="s">
        <v>1570</v>
      </c>
      <c r="D4" s="620"/>
      <c r="E4" s="620"/>
      <c r="F4" s="620"/>
      <c r="G4" s="621"/>
      <c r="H4" s="289"/>
      <c r="I4" s="289"/>
      <c r="M4" s="99"/>
    </row>
    <row r="5" spans="2:13" ht="60.75" customHeight="1" thickBot="1" x14ac:dyDescent="0.3">
      <c r="B5" s="99"/>
      <c r="C5" s="622" t="s">
        <v>1578</v>
      </c>
      <c r="D5" s="623"/>
      <c r="E5" s="623"/>
      <c r="F5" s="623"/>
      <c r="G5" s="624"/>
      <c r="H5" s="289"/>
      <c r="I5" s="289"/>
    </row>
    <row r="6" spans="2:13" ht="33" customHeight="1" thickBot="1" x14ac:dyDescent="0.3">
      <c r="B6" s="99"/>
      <c r="G6" s="53"/>
      <c r="I6" s="466" t="s">
        <v>1533</v>
      </c>
    </row>
    <row r="7" spans="2:13" ht="30.75" thickBot="1" x14ac:dyDescent="0.3">
      <c r="B7" s="215" t="s">
        <v>744</v>
      </c>
      <c r="C7" s="218" t="s">
        <v>1443</v>
      </c>
      <c r="D7" s="219" t="s">
        <v>0</v>
      </c>
      <c r="E7" s="220" t="s">
        <v>1</v>
      </c>
      <c r="F7" s="219" t="s">
        <v>664</v>
      </c>
      <c r="G7" s="219" t="s">
        <v>667</v>
      </c>
      <c r="I7" s="208" t="s">
        <v>1472</v>
      </c>
      <c r="J7" s="203">
        <v>1</v>
      </c>
    </row>
    <row r="8" spans="2:13" x14ac:dyDescent="0.25">
      <c r="B8" s="6" t="str">
        <f t="shared" ref="B8:B32" si="0">CONCATENATE(D8, "-", E8, "-", F8)</f>
        <v>Private forest-Andira retusa-1</v>
      </c>
      <c r="C8" s="53">
        <v>1</v>
      </c>
      <c r="D8" s="53" t="s">
        <v>1512</v>
      </c>
      <c r="E8" s="53" t="s">
        <v>280</v>
      </c>
      <c r="F8" s="53">
        <v>1</v>
      </c>
      <c r="G8" s="52">
        <v>5</v>
      </c>
    </row>
    <row r="9" spans="2:13" x14ac:dyDescent="0.25">
      <c r="B9" s="6" t="str">
        <f t="shared" si="0"/>
        <v>Private forest-Andira retusa-2</v>
      </c>
      <c r="C9" s="53">
        <v>1</v>
      </c>
      <c r="D9" s="53" t="s">
        <v>1512</v>
      </c>
      <c r="E9" s="53" t="s">
        <v>280</v>
      </c>
      <c r="F9" s="53">
        <v>2</v>
      </c>
      <c r="G9" s="52">
        <v>10</v>
      </c>
    </row>
    <row r="10" spans="2:13" x14ac:dyDescent="0.25">
      <c r="B10" s="6" t="str">
        <f t="shared" si="0"/>
        <v>Private forest-Andira retusa-3</v>
      </c>
      <c r="C10" s="381">
        <v>1</v>
      </c>
      <c r="D10" s="381" t="s">
        <v>1512</v>
      </c>
      <c r="E10" s="381" t="s">
        <v>280</v>
      </c>
      <c r="F10" s="381">
        <v>3</v>
      </c>
      <c r="G10" s="52">
        <v>20</v>
      </c>
    </row>
    <row r="11" spans="2:13" x14ac:dyDescent="0.25">
      <c r="B11" s="6" t="str">
        <f t="shared" si="0"/>
        <v>Private forest-Andira retusa-4</v>
      </c>
      <c r="C11" s="381">
        <v>1</v>
      </c>
      <c r="D11" s="381" t="s">
        <v>1512</v>
      </c>
      <c r="E11" s="381" t="s">
        <v>280</v>
      </c>
      <c r="F11" s="381">
        <v>4</v>
      </c>
      <c r="G11" s="52">
        <v>25</v>
      </c>
    </row>
    <row r="12" spans="2:13" x14ac:dyDescent="0.25">
      <c r="B12" s="6" t="str">
        <f t="shared" si="0"/>
        <v>Private forest-Andira retusa-5</v>
      </c>
      <c r="C12" s="381">
        <v>1</v>
      </c>
      <c r="D12" s="381" t="s">
        <v>1512</v>
      </c>
      <c r="E12" s="381" t="s">
        <v>280</v>
      </c>
      <c r="F12" s="381">
        <v>5</v>
      </c>
      <c r="G12" s="52">
        <v>30</v>
      </c>
    </row>
    <row r="13" spans="2:13" x14ac:dyDescent="0.25">
      <c r="B13" s="6" t="str">
        <f t="shared" si="0"/>
        <v>Private forest-Andira retusa-6</v>
      </c>
      <c r="C13" s="381">
        <v>1</v>
      </c>
      <c r="D13" s="381" t="s">
        <v>1512</v>
      </c>
      <c r="E13" s="381" t="s">
        <v>280</v>
      </c>
      <c r="F13" s="381">
        <v>6</v>
      </c>
      <c r="G13" s="52">
        <v>35</v>
      </c>
    </row>
    <row r="14" spans="2:13" x14ac:dyDescent="0.25">
      <c r="B14" s="6" t="str">
        <f t="shared" si="0"/>
        <v>Private forest-Andira retusa-7</v>
      </c>
      <c r="C14" s="381">
        <v>1</v>
      </c>
      <c r="D14" s="381" t="s">
        <v>1512</v>
      </c>
      <c r="E14" s="381" t="s">
        <v>280</v>
      </c>
      <c r="F14" s="381">
        <v>7</v>
      </c>
      <c r="G14" s="52">
        <v>40</v>
      </c>
    </row>
    <row r="15" spans="2:13" x14ac:dyDescent="0.25">
      <c r="B15" s="6" t="str">
        <f t="shared" si="0"/>
        <v>Private forest-Andira retusa-8</v>
      </c>
      <c r="C15" s="381">
        <v>1</v>
      </c>
      <c r="D15" s="381" t="s">
        <v>1512</v>
      </c>
      <c r="E15" s="381" t="s">
        <v>280</v>
      </c>
      <c r="F15" s="381">
        <v>8</v>
      </c>
      <c r="G15" s="52">
        <v>45</v>
      </c>
    </row>
    <row r="16" spans="2:13" x14ac:dyDescent="0.25">
      <c r="B16" s="6" t="str">
        <f t="shared" si="0"/>
        <v>Private forest-Andira retusa-9</v>
      </c>
      <c r="C16" s="381">
        <v>1</v>
      </c>
      <c r="D16" s="381" t="s">
        <v>1512</v>
      </c>
      <c r="E16" s="381" t="s">
        <v>280</v>
      </c>
      <c r="F16" s="381">
        <v>9</v>
      </c>
      <c r="G16" s="52">
        <v>50</v>
      </c>
    </row>
    <row r="17" spans="2:7" x14ac:dyDescent="0.25">
      <c r="B17" s="6" t="str">
        <f t="shared" si="0"/>
        <v>Private forest-Andira retusa-10</v>
      </c>
      <c r="C17" s="381">
        <v>1</v>
      </c>
      <c r="D17" s="381" t="s">
        <v>1512</v>
      </c>
      <c r="E17" s="381" t="s">
        <v>280</v>
      </c>
      <c r="F17" s="381">
        <v>10</v>
      </c>
      <c r="G17" s="52">
        <v>55</v>
      </c>
    </row>
    <row r="18" spans="2:7" x14ac:dyDescent="0.25">
      <c r="B18" s="6" t="str">
        <f t="shared" si="0"/>
        <v>Industrial Forest-Andira parviflora-1</v>
      </c>
      <c r="C18" s="53">
        <v>2</v>
      </c>
      <c r="D18" s="53" t="s">
        <v>1514</v>
      </c>
      <c r="E18" s="53" t="s">
        <v>787</v>
      </c>
      <c r="F18" s="53">
        <v>1</v>
      </c>
      <c r="G18" s="52">
        <v>5</v>
      </c>
    </row>
    <row r="19" spans="2:7" x14ac:dyDescent="0.25">
      <c r="B19" s="6" t="str">
        <f t="shared" si="0"/>
        <v>Industrial Forest-Andira parviflora-2</v>
      </c>
      <c r="C19" s="53">
        <v>2</v>
      </c>
      <c r="D19" s="53" t="s">
        <v>1514</v>
      </c>
      <c r="E19" s="53" t="s">
        <v>787</v>
      </c>
      <c r="F19" s="53">
        <v>2</v>
      </c>
      <c r="G19" s="52">
        <v>10</v>
      </c>
    </row>
    <row r="20" spans="2:7" x14ac:dyDescent="0.25">
      <c r="B20" s="6" t="str">
        <f t="shared" si="0"/>
        <v>Industrial Forest-Andira parviflora-3</v>
      </c>
      <c r="C20" s="381">
        <v>2</v>
      </c>
      <c r="D20" s="381" t="s">
        <v>1514</v>
      </c>
      <c r="E20" s="381" t="s">
        <v>787</v>
      </c>
      <c r="F20" s="381">
        <v>3</v>
      </c>
      <c r="G20" s="52">
        <v>20</v>
      </c>
    </row>
    <row r="21" spans="2:7" x14ac:dyDescent="0.25">
      <c r="B21" s="6" t="str">
        <f t="shared" si="0"/>
        <v>Industrial Forest-Andira parviflora-4</v>
      </c>
      <c r="C21" s="381">
        <v>2</v>
      </c>
      <c r="D21" s="381" t="s">
        <v>1514</v>
      </c>
      <c r="E21" s="381" t="s">
        <v>787</v>
      </c>
      <c r="F21" s="381">
        <v>4</v>
      </c>
      <c r="G21" s="52">
        <v>25</v>
      </c>
    </row>
    <row r="22" spans="2:7" x14ac:dyDescent="0.25">
      <c r="B22" s="6" t="str">
        <f t="shared" si="0"/>
        <v>Industrial Forest-Andira parviflora-5</v>
      </c>
      <c r="C22" s="381">
        <v>2</v>
      </c>
      <c r="D22" s="381" t="s">
        <v>1514</v>
      </c>
      <c r="E22" s="381" t="s">
        <v>787</v>
      </c>
      <c r="F22" s="381">
        <v>5</v>
      </c>
      <c r="G22" s="52">
        <v>30</v>
      </c>
    </row>
    <row r="23" spans="2:7" x14ac:dyDescent="0.25">
      <c r="B23" s="6" t="str">
        <f t="shared" si="0"/>
        <v>Industrial Forest-Andira parviflora-6</v>
      </c>
      <c r="C23" s="381">
        <v>2</v>
      </c>
      <c r="D23" s="381" t="s">
        <v>1514</v>
      </c>
      <c r="E23" s="381" t="s">
        <v>787</v>
      </c>
      <c r="F23" s="381">
        <v>6</v>
      </c>
      <c r="G23" s="52">
        <v>35</v>
      </c>
    </row>
    <row r="24" spans="2:7" x14ac:dyDescent="0.25">
      <c r="B24" s="6" t="str">
        <f t="shared" si="0"/>
        <v>Industrial Forest-Andira parviflora-7</v>
      </c>
      <c r="C24" s="381">
        <v>2</v>
      </c>
      <c r="D24" s="381" t="s">
        <v>1514</v>
      </c>
      <c r="E24" s="381" t="s">
        <v>787</v>
      </c>
      <c r="F24" s="381">
        <v>7</v>
      </c>
      <c r="G24" s="52">
        <v>40</v>
      </c>
    </row>
    <row r="25" spans="2:7" x14ac:dyDescent="0.25">
      <c r="B25" s="6" t="str">
        <f t="shared" si="0"/>
        <v>Industrial Forest-Andira parviflora-8</v>
      </c>
      <c r="C25" s="381">
        <v>2</v>
      </c>
      <c r="D25" s="381" t="s">
        <v>1514</v>
      </c>
      <c r="E25" s="381" t="s">
        <v>787</v>
      </c>
      <c r="F25" s="381">
        <v>8</v>
      </c>
      <c r="G25" s="52">
        <v>45</v>
      </c>
    </row>
    <row r="26" spans="2:7" x14ac:dyDescent="0.25">
      <c r="B26" s="6" t="str">
        <f t="shared" si="0"/>
        <v>Industrial Forest-Andira parviflora-9</v>
      </c>
      <c r="C26" s="381">
        <v>2</v>
      </c>
      <c r="D26" s="381" t="s">
        <v>1514</v>
      </c>
      <c r="E26" s="381" t="s">
        <v>787</v>
      </c>
      <c r="F26" s="381">
        <v>9</v>
      </c>
      <c r="G26" s="52">
        <v>50</v>
      </c>
    </row>
    <row r="27" spans="2:7" x14ac:dyDescent="0.25">
      <c r="B27" s="6" t="str">
        <f t="shared" si="0"/>
        <v>Industrial Forest-Andira parviflora-10</v>
      </c>
      <c r="C27" s="381">
        <v>2</v>
      </c>
      <c r="D27" s="381" t="s">
        <v>1514</v>
      </c>
      <c r="E27" s="381" t="s">
        <v>787</v>
      </c>
      <c r="F27" s="381">
        <v>10</v>
      </c>
      <c r="G27" s="52">
        <v>55</v>
      </c>
    </row>
    <row r="28" spans="2:7" x14ac:dyDescent="0.25">
      <c r="B28" s="6" t="str">
        <f t="shared" si="0"/>
        <v>Industrial Forest-Andira parviflora-11</v>
      </c>
      <c r="C28" s="381">
        <v>2</v>
      </c>
      <c r="D28" s="381" t="s">
        <v>1514</v>
      </c>
      <c r="E28" s="381" t="s">
        <v>787</v>
      </c>
      <c r="F28" s="381">
        <v>11</v>
      </c>
      <c r="G28" s="52">
        <v>60</v>
      </c>
    </row>
    <row r="29" spans="2:7" x14ac:dyDescent="0.25">
      <c r="B29" s="6" t="str">
        <f t="shared" si="0"/>
        <v>Industrial Forest-Andira parviflora-12</v>
      </c>
      <c r="C29" s="381">
        <v>2</v>
      </c>
      <c r="D29" s="381" t="s">
        <v>1514</v>
      </c>
      <c r="E29" s="381" t="s">
        <v>787</v>
      </c>
      <c r="F29" s="381">
        <v>12</v>
      </c>
      <c r="G29" s="52">
        <v>65</v>
      </c>
    </row>
    <row r="30" spans="2:7" x14ac:dyDescent="0.25">
      <c r="B30" s="6" t="str">
        <f t="shared" si="0"/>
        <v>Industrial Forest-Andira parviflora-13</v>
      </c>
      <c r="C30" s="381">
        <v>2</v>
      </c>
      <c r="D30" s="381" t="s">
        <v>1514</v>
      </c>
      <c r="E30" s="381" t="s">
        <v>787</v>
      </c>
      <c r="F30" s="381">
        <v>13</v>
      </c>
      <c r="G30" s="52">
        <v>70</v>
      </c>
    </row>
    <row r="31" spans="2:7" x14ac:dyDescent="0.25">
      <c r="B31" s="6" t="str">
        <f t="shared" si="0"/>
        <v>Industrial Forest-Andira parviflora-14</v>
      </c>
      <c r="C31" s="381">
        <v>2</v>
      </c>
      <c r="D31" s="381" t="s">
        <v>1514</v>
      </c>
      <c r="E31" s="381" t="s">
        <v>787</v>
      </c>
      <c r="F31" s="381">
        <v>14</v>
      </c>
      <c r="G31" s="52">
        <v>75</v>
      </c>
    </row>
    <row r="32" spans="2:7" x14ac:dyDescent="0.25">
      <c r="B32" s="6" t="str">
        <f t="shared" si="0"/>
        <v>Industrial Forest-Andira parviflora-15</v>
      </c>
      <c r="C32" s="381">
        <v>2</v>
      </c>
      <c r="D32" s="381" t="s">
        <v>1514</v>
      </c>
      <c r="E32" s="381" t="s">
        <v>787</v>
      </c>
      <c r="F32" s="381">
        <v>15</v>
      </c>
      <c r="G32" s="52">
        <v>80</v>
      </c>
    </row>
  </sheetData>
  <sheetProtection algorithmName="SHA-512" hashValue="lw7vd0KsiZg5X75SsfNj3pS2SBVP7sqEPX5jBeZKVGoN+XurulCmPzy/qMx2/tJa13xDnmMDQD9728EfXeXjkw==" saltValue="GvIaHYwVdHjiQeoSh6dgtQ==" spinCount="100000" sheet="1" objects="1" scenarios="1"/>
  <autoFilter ref="B7:G7" xr:uid="{00000000-0009-0000-0000-00000D000000}"/>
  <dataConsolidate/>
  <mergeCells count="3">
    <mergeCell ref="C3:G3"/>
    <mergeCell ref="C4:G4"/>
    <mergeCell ref="C5:G5"/>
  </mergeCells>
  <dataValidations count="1">
    <dataValidation type="list" allowBlank="1" showInputMessage="1" showErrorMessage="1" sqref="J7" xr:uid="{00000000-0002-0000-0D00-000000000000}">
      <formula1>no_models</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Hoja11"/>
  <dimension ref="A1:R61"/>
  <sheetViews>
    <sheetView showGridLines="0" zoomScaleNormal="100" workbookViewId="0">
      <pane ySplit="1" topLeftCell="A2" activePane="bottomLeft" state="frozen"/>
      <selection activeCell="K20" sqref="K20"/>
      <selection pane="bottomLeft" activeCell="A4" sqref="A4"/>
    </sheetView>
  </sheetViews>
  <sheetFormatPr defaultColWidth="11.42578125" defaultRowHeight="15" x14ac:dyDescent="0.25"/>
  <cols>
    <col min="1" max="1" width="11.42578125" style="53" customWidth="1"/>
    <col min="2" max="2" width="19.42578125" style="53" customWidth="1"/>
    <col min="3" max="4" width="10.85546875" style="53" customWidth="1"/>
    <col min="5" max="5" width="11.42578125" style="53"/>
    <col min="6" max="6" width="10.28515625" style="53" customWidth="1"/>
    <col min="7" max="7" width="12.7109375" style="53" customWidth="1"/>
    <col min="8" max="8" width="25.28515625" style="53" customWidth="1"/>
    <col min="9" max="9" width="23.28515625" style="53" customWidth="1"/>
    <col min="10" max="10" width="33.42578125" style="99" hidden="1" customWidth="1"/>
    <col min="11" max="11" width="11.42578125" style="99" hidden="1" customWidth="1"/>
    <col min="12" max="12" width="30.7109375" style="98" hidden="1" customWidth="1"/>
    <col min="13" max="14" width="0" style="98" hidden="1" customWidth="1"/>
    <col min="15" max="16" width="11.42578125" style="98"/>
    <col min="17" max="17" width="11.42578125" style="89"/>
    <col min="18" max="16384" width="11.42578125" style="53"/>
  </cols>
  <sheetData>
    <row r="1" spans="2:18" s="51" customFormat="1" ht="120" customHeight="1" x14ac:dyDescent="0.25">
      <c r="J1" s="316"/>
      <c r="K1" s="316"/>
      <c r="L1" s="400"/>
      <c r="M1" s="400"/>
      <c r="N1" s="400"/>
      <c r="O1" s="400"/>
      <c r="P1" s="400"/>
      <c r="Q1" s="88"/>
    </row>
    <row r="2" spans="2:18" ht="12.75" customHeight="1" x14ac:dyDescent="0.25"/>
    <row r="3" spans="2:18" ht="12.75" customHeight="1" x14ac:dyDescent="0.25">
      <c r="E3" s="481" t="s">
        <v>723</v>
      </c>
    </row>
    <row r="4" spans="2:18" ht="18.75" x14ac:dyDescent="0.3">
      <c r="B4" s="8" t="s">
        <v>1473</v>
      </c>
    </row>
    <row r="5" spans="2:18" ht="15.75" customHeight="1" x14ac:dyDescent="0.25">
      <c r="E5" s="428"/>
      <c r="F5" s="428"/>
      <c r="G5" s="428"/>
      <c r="H5" s="209"/>
      <c r="I5" s="209"/>
      <c r="Q5" s="98"/>
      <c r="R5" s="99"/>
    </row>
    <row r="6" spans="2:18" ht="18.75" x14ac:dyDescent="0.3">
      <c r="B6" s="297" t="s">
        <v>1509</v>
      </c>
      <c r="C6" s="422">
        <v>2015</v>
      </c>
      <c r="E6" s="431"/>
      <c r="F6" s="432"/>
      <c r="G6" s="433"/>
      <c r="J6" s="411" t="s">
        <v>1506</v>
      </c>
      <c r="K6" s="381"/>
      <c r="L6" s="381" t="s">
        <v>1505</v>
      </c>
      <c r="M6" s="53"/>
    </row>
    <row r="7" spans="2:18" ht="19.5" thickBot="1" x14ac:dyDescent="0.35">
      <c r="B7" s="298"/>
      <c r="C7" s="210"/>
      <c r="E7" s="429"/>
      <c r="F7" s="434"/>
      <c r="G7" s="434"/>
      <c r="J7">
        <v>2020</v>
      </c>
      <c r="K7" s="53">
        <f>C10</f>
        <v>5</v>
      </c>
      <c r="L7" s="53">
        <f>ROWS(inventory_data_tbl[])</f>
        <v>3</v>
      </c>
      <c r="M7" s="53"/>
      <c r="N7" s="53"/>
      <c r="O7" s="53"/>
      <c r="P7" s="53"/>
      <c r="Q7" s="53"/>
    </row>
    <row r="8" spans="2:18" ht="19.5" thickBot="1" x14ac:dyDescent="0.35">
      <c r="B8" s="297" t="s">
        <v>1444</v>
      </c>
      <c r="C8" s="423">
        <v>45</v>
      </c>
      <c r="D8" s="211" t="s">
        <v>26</v>
      </c>
      <c r="E8" s="431"/>
      <c r="F8" s="432"/>
      <c r="G8" s="433"/>
      <c r="H8" s="380"/>
      <c r="I8"/>
      <c r="J8">
        <v>2025</v>
      </c>
      <c r="K8" s="53">
        <f>$C$10+K7</f>
        <v>10</v>
      </c>
      <c r="L8" s="53"/>
      <c r="M8" s="53"/>
      <c r="N8" s="53"/>
      <c r="O8" s="53"/>
      <c r="P8" s="53"/>
      <c r="Q8" s="53"/>
    </row>
    <row r="9" spans="2:18" ht="18.75" x14ac:dyDescent="0.3">
      <c r="B9" s="298"/>
      <c r="C9" s="210"/>
      <c r="D9" s="211"/>
      <c r="E9" s="428"/>
      <c r="F9" s="435"/>
      <c r="G9" s="432"/>
      <c r="H9" s="380"/>
      <c r="I9"/>
      <c r="J9">
        <v>2030</v>
      </c>
      <c r="K9" s="381">
        <f t="shared" ref="K9:K15" si="0">$C$10+K8</f>
        <v>15</v>
      </c>
      <c r="L9" s="53"/>
      <c r="M9" s="53"/>
      <c r="N9" s="53"/>
      <c r="O9" s="53"/>
      <c r="P9" s="53"/>
      <c r="Q9" s="53"/>
    </row>
    <row r="10" spans="2:18" ht="19.5" customHeight="1" x14ac:dyDescent="0.3">
      <c r="B10" s="297" t="s">
        <v>1445</v>
      </c>
      <c r="C10" s="422">
        <v>5</v>
      </c>
      <c r="D10" s="211" t="s">
        <v>26</v>
      </c>
      <c r="E10" s="430"/>
      <c r="F10" s="430"/>
      <c r="G10" s="430"/>
      <c r="H10" s="223"/>
      <c r="I10"/>
      <c r="J10">
        <v>2035</v>
      </c>
      <c r="K10" s="381">
        <f t="shared" si="0"/>
        <v>20</v>
      </c>
      <c r="L10"/>
      <c r="M10" s="410"/>
      <c r="N10" s="53"/>
      <c r="O10" s="53"/>
      <c r="P10" s="53"/>
      <c r="Q10" s="53"/>
    </row>
    <row r="11" spans="2:18" ht="19.5" thickBot="1" x14ac:dyDescent="0.35">
      <c r="B11" s="298"/>
      <c r="C11" s="210"/>
      <c r="E11" s="430"/>
      <c r="F11" s="430"/>
      <c r="G11" s="430"/>
      <c r="H11" s="223"/>
      <c r="I11"/>
      <c r="J11">
        <v>2040</v>
      </c>
      <c r="K11" s="381">
        <f t="shared" si="0"/>
        <v>25</v>
      </c>
      <c r="L11"/>
      <c r="M11" s="410"/>
      <c r="N11" s="53"/>
      <c r="O11" s="53"/>
      <c r="P11" s="53"/>
      <c r="Q11" s="53"/>
    </row>
    <row r="12" spans="2:18" ht="19.5" thickBot="1" x14ac:dyDescent="0.35">
      <c r="B12" s="297" t="s">
        <v>1446</v>
      </c>
      <c r="C12" s="424">
        <f>IF(C6&lt;&gt;"",C6+C8,"")</f>
        <v>2060</v>
      </c>
      <c r="E12" s="430"/>
      <c r="F12" s="430"/>
      <c r="G12" s="430"/>
      <c r="H12" s="223"/>
      <c r="I12"/>
      <c r="J12">
        <v>2045</v>
      </c>
      <c r="K12" s="381">
        <f t="shared" si="0"/>
        <v>30</v>
      </c>
      <c r="L12"/>
      <c r="M12" s="410"/>
      <c r="N12" s="53"/>
      <c r="O12" s="53"/>
      <c r="P12" s="53"/>
      <c r="Q12" s="53"/>
    </row>
    <row r="13" spans="2:18" ht="15" customHeight="1" x14ac:dyDescent="0.25">
      <c r="E13" s="430"/>
      <c r="F13" s="430"/>
      <c r="G13" s="430"/>
      <c r="H13"/>
      <c r="I13"/>
      <c r="J13">
        <v>2050</v>
      </c>
      <c r="K13" s="381">
        <f t="shared" si="0"/>
        <v>35</v>
      </c>
      <c r="L13"/>
      <c r="M13" s="410"/>
      <c r="N13" s="53"/>
      <c r="O13" s="53"/>
      <c r="P13" s="53"/>
      <c r="Q13" s="53"/>
    </row>
    <row r="14" spans="2:18" ht="15" customHeight="1" x14ac:dyDescent="0.25">
      <c r="E14" s="430"/>
      <c r="F14" s="430"/>
      <c r="G14" s="430"/>
      <c r="H14"/>
      <c r="I14"/>
      <c r="J14">
        <v>2055</v>
      </c>
      <c r="K14" s="381">
        <f t="shared" si="0"/>
        <v>40</v>
      </c>
      <c r="L14"/>
      <c r="M14" s="410"/>
      <c r="N14" s="53"/>
      <c r="O14" s="53"/>
      <c r="P14" s="53"/>
      <c r="Q14" s="53"/>
    </row>
    <row r="15" spans="2:18" ht="15" customHeight="1" x14ac:dyDescent="0.25">
      <c r="E15" s="430"/>
      <c r="F15" s="430"/>
      <c r="G15" s="430"/>
      <c r="H15"/>
      <c r="I15"/>
      <c r="J15"/>
      <c r="K15" s="381">
        <f t="shared" si="0"/>
        <v>45</v>
      </c>
      <c r="L15" s="7"/>
      <c r="M15" s="410"/>
      <c r="N15" s="53"/>
      <c r="O15" s="53"/>
      <c r="P15" s="53"/>
      <c r="Q15" s="53"/>
    </row>
    <row r="16" spans="2:18" x14ac:dyDescent="0.25">
      <c r="F16"/>
      <c r="G16"/>
      <c r="H16"/>
      <c r="I16"/>
      <c r="J16"/>
      <c r="K16"/>
      <c r="L16"/>
      <c r="M16" s="53"/>
      <c r="N16" s="53"/>
      <c r="O16" s="53"/>
      <c r="P16" s="53"/>
      <c r="Q16" s="53"/>
    </row>
    <row r="17" spans="1:17" s="6" customFormat="1" ht="20.25" customHeight="1" x14ac:dyDescent="0.25">
      <c r="F17" s="206"/>
      <c r="G17" s="206"/>
      <c r="H17" s="206"/>
      <c r="I17" s="206"/>
      <c r="J17"/>
      <c r="K17"/>
    </row>
    <row r="18" spans="1:17" s="6" customFormat="1" x14ac:dyDescent="0.25">
      <c r="D18" s="89"/>
      <c r="J18"/>
      <c r="K18"/>
    </row>
    <row r="19" spans="1:17" s="6" customFormat="1" hidden="1" x14ac:dyDescent="0.25">
      <c r="A19" s="89">
        <f>IF(C12&gt;=C6,C6,"")</f>
        <v>2015</v>
      </c>
      <c r="B19" s="89">
        <f>C10</f>
        <v>5</v>
      </c>
      <c r="C19" s="89"/>
      <c r="D19" s="416">
        <f>INT(C8/C10)</f>
        <v>9</v>
      </c>
      <c r="J19"/>
      <c r="K19"/>
    </row>
    <row r="20" spans="1:17" s="6" customFormat="1" hidden="1" x14ac:dyDescent="0.25">
      <c r="B20" s="89">
        <f t="shared" ref="B20:B21" si="1">C11</f>
        <v>0</v>
      </c>
      <c r="J20"/>
      <c r="K20"/>
    </row>
    <row r="21" spans="1:17" s="6" customFormat="1" hidden="1" x14ac:dyDescent="0.25">
      <c r="B21" s="89">
        <f t="shared" si="1"/>
        <v>2060</v>
      </c>
      <c r="J21"/>
      <c r="K21"/>
    </row>
    <row r="22" spans="1:17" s="6" customFormat="1" hidden="1" x14ac:dyDescent="0.25">
      <c r="B22" s="6">
        <f>COUNTA(F:F)-2</f>
        <v>-2</v>
      </c>
      <c r="J22"/>
      <c r="K22"/>
    </row>
    <row r="23" spans="1:17" s="6" customFormat="1" hidden="1" x14ac:dyDescent="0.25">
      <c r="J23"/>
      <c r="K23"/>
    </row>
    <row r="24" spans="1:17" hidden="1" x14ac:dyDescent="0.25">
      <c r="B24"/>
      <c r="C24"/>
      <c r="D24"/>
      <c r="E24"/>
      <c r="F24"/>
      <c r="G24"/>
      <c r="H24"/>
      <c r="I24"/>
      <c r="J24"/>
      <c r="K24"/>
      <c r="L24" s="53"/>
      <c r="M24" s="53"/>
      <c r="N24" s="53"/>
      <c r="O24" s="53"/>
      <c r="P24" s="53"/>
      <c r="Q24" s="53"/>
    </row>
    <row r="25" spans="1:17" hidden="1" x14ac:dyDescent="0.25">
      <c r="B25"/>
      <c r="C25"/>
      <c r="D25"/>
      <c r="E25"/>
      <c r="F25"/>
      <c r="G25"/>
      <c r="H25"/>
      <c r="I25"/>
      <c r="J25"/>
      <c r="K25"/>
      <c r="L25" s="53"/>
      <c r="M25" s="53"/>
      <c r="N25" s="53"/>
      <c r="O25" s="53"/>
      <c r="P25" s="53"/>
      <c r="Q25" s="53"/>
    </row>
    <row r="26" spans="1:17" x14ac:dyDescent="0.25">
      <c r="B26"/>
      <c r="C26"/>
      <c r="D26"/>
      <c r="E26"/>
      <c r="F26"/>
      <c r="G26"/>
      <c r="H26"/>
      <c r="I26"/>
      <c r="J26"/>
      <c r="K26"/>
      <c r="L26" s="53"/>
      <c r="M26" s="53"/>
      <c r="N26" s="53"/>
      <c r="O26" s="53"/>
      <c r="P26" s="53"/>
      <c r="Q26" s="53"/>
    </row>
    <row r="27" spans="1:17" x14ac:dyDescent="0.25">
      <c r="B27"/>
      <c r="C27"/>
      <c r="D27"/>
      <c r="E27"/>
      <c r="F27"/>
      <c r="G27"/>
      <c r="H27"/>
      <c r="I27"/>
      <c r="J27"/>
      <c r="K27"/>
      <c r="L27" s="53"/>
      <c r="M27" s="53"/>
      <c r="N27" s="53"/>
      <c r="O27" s="53"/>
      <c r="P27" s="53"/>
      <c r="Q27" s="53"/>
    </row>
    <row r="28" spans="1:17" x14ac:dyDescent="0.25">
      <c r="B28"/>
      <c r="C28"/>
      <c r="D28"/>
      <c r="E28"/>
      <c r="F28"/>
      <c r="G28"/>
      <c r="H28"/>
      <c r="I28"/>
      <c r="J28"/>
      <c r="K28"/>
      <c r="L28" s="53"/>
      <c r="M28" s="53"/>
      <c r="N28" s="53"/>
      <c r="O28" s="53"/>
      <c r="P28" s="53"/>
      <c r="Q28" s="53"/>
    </row>
    <row r="29" spans="1:17" x14ac:dyDescent="0.25">
      <c r="B29"/>
      <c r="C29"/>
      <c r="D29"/>
      <c r="E29"/>
      <c r="F29"/>
      <c r="G29"/>
      <c r="H29"/>
      <c r="I29"/>
      <c r="J29"/>
      <c r="K29"/>
      <c r="L29" s="53"/>
      <c r="M29" s="53"/>
      <c r="N29" s="53"/>
      <c r="O29" s="53"/>
      <c r="P29" s="53"/>
      <c r="Q29" s="53"/>
    </row>
    <row r="30" spans="1:17" x14ac:dyDescent="0.25">
      <c r="B30"/>
      <c r="C30"/>
      <c r="D30"/>
      <c r="J30"/>
      <c r="K30"/>
      <c r="L30" s="53"/>
      <c r="M30" s="53"/>
      <c r="N30" s="53"/>
      <c r="O30" s="53"/>
      <c r="P30" s="53"/>
      <c r="Q30" s="53"/>
    </row>
    <row r="31" spans="1:17" x14ac:dyDescent="0.25">
      <c r="B31"/>
      <c r="C31"/>
      <c r="D31"/>
      <c r="J31"/>
      <c r="K31"/>
      <c r="L31" s="99"/>
      <c r="M31" s="53"/>
      <c r="N31" s="53"/>
      <c r="O31" s="53"/>
      <c r="P31" s="53"/>
      <c r="Q31" s="53"/>
    </row>
    <row r="32" spans="1:17" x14ac:dyDescent="0.25">
      <c r="B32"/>
      <c r="C32"/>
      <c r="D32"/>
      <c r="J32"/>
      <c r="K32"/>
      <c r="L32" s="53"/>
      <c r="M32" s="53"/>
      <c r="N32" s="53"/>
      <c r="O32" s="53"/>
      <c r="P32" s="53"/>
      <c r="Q32" s="53"/>
    </row>
    <row r="33" spans="2:17" x14ac:dyDescent="0.25">
      <c r="B33"/>
      <c r="C33"/>
      <c r="D33"/>
      <c r="J33"/>
      <c r="K33"/>
      <c r="L33" s="53"/>
      <c r="M33" s="53"/>
      <c r="N33" s="53"/>
      <c r="O33" s="53"/>
      <c r="P33" s="53"/>
      <c r="Q33" s="53"/>
    </row>
    <row r="34" spans="2:17" x14ac:dyDescent="0.25">
      <c r="J34"/>
      <c r="K34"/>
    </row>
    <row r="35" spans="2:17" x14ac:dyDescent="0.25">
      <c r="J35"/>
      <c r="K35"/>
    </row>
    <row r="36" spans="2:17" x14ac:dyDescent="0.25">
      <c r="J36"/>
      <c r="K36"/>
    </row>
    <row r="37" spans="2:17" x14ac:dyDescent="0.25">
      <c r="J37"/>
      <c r="K37"/>
    </row>
    <row r="38" spans="2:17" x14ac:dyDescent="0.25">
      <c r="J38"/>
      <c r="K38"/>
    </row>
    <row r="39" spans="2:17" x14ac:dyDescent="0.25">
      <c r="J39"/>
      <c r="K39"/>
    </row>
    <row r="40" spans="2:17" x14ac:dyDescent="0.25">
      <c r="J40"/>
      <c r="K40"/>
    </row>
    <row r="41" spans="2:17" x14ac:dyDescent="0.25">
      <c r="J41"/>
      <c r="K41"/>
    </row>
    <row r="42" spans="2:17" x14ac:dyDescent="0.25">
      <c r="J42"/>
      <c r="K42"/>
    </row>
    <row r="43" spans="2:17" x14ac:dyDescent="0.25">
      <c r="J43"/>
      <c r="K43"/>
    </row>
    <row r="44" spans="2:17" x14ac:dyDescent="0.25">
      <c r="J44"/>
      <c r="K44"/>
    </row>
    <row r="45" spans="2:17" x14ac:dyDescent="0.25">
      <c r="J45"/>
      <c r="K45"/>
    </row>
    <row r="46" spans="2:17" x14ac:dyDescent="0.25">
      <c r="J46"/>
      <c r="K46"/>
    </row>
    <row r="47" spans="2:17" x14ac:dyDescent="0.25">
      <c r="J47"/>
      <c r="K47"/>
    </row>
    <row r="48" spans="2:17" x14ac:dyDescent="0.25">
      <c r="J48"/>
      <c r="K48"/>
    </row>
    <row r="49" spans="10:11" x14ac:dyDescent="0.25">
      <c r="J49"/>
      <c r="K49"/>
    </row>
    <row r="50" spans="10:11" x14ac:dyDescent="0.25">
      <c r="J50"/>
      <c r="K50"/>
    </row>
    <row r="51" spans="10:11" x14ac:dyDescent="0.25">
      <c r="J51"/>
      <c r="K51"/>
    </row>
    <row r="52" spans="10:11" x14ac:dyDescent="0.25">
      <c r="J52"/>
      <c r="K52"/>
    </row>
    <row r="53" spans="10:11" x14ac:dyDescent="0.25">
      <c r="J53"/>
      <c r="K53"/>
    </row>
    <row r="54" spans="10:11" x14ac:dyDescent="0.25">
      <c r="J54"/>
      <c r="K54"/>
    </row>
    <row r="55" spans="10:11" x14ac:dyDescent="0.25">
      <c r="J55"/>
      <c r="K55"/>
    </row>
    <row r="56" spans="10:11" x14ac:dyDescent="0.25">
      <c r="J56"/>
      <c r="K56"/>
    </row>
    <row r="57" spans="10:11" x14ac:dyDescent="0.25">
      <c r="J57"/>
      <c r="K57"/>
    </row>
    <row r="58" spans="10:11" x14ac:dyDescent="0.25">
      <c r="J58"/>
      <c r="K58"/>
    </row>
    <row r="59" spans="10:11" x14ac:dyDescent="0.25">
      <c r="J59"/>
      <c r="K59"/>
    </row>
    <row r="60" spans="10:11" x14ac:dyDescent="0.25">
      <c r="J60"/>
      <c r="K60"/>
    </row>
    <row r="61" spans="10:11" x14ac:dyDescent="0.25">
      <c r="K61"/>
    </row>
  </sheetData>
  <sheetProtection selectLockedCells="1"/>
  <conditionalFormatting sqref="C6">
    <cfRule type="expression" dxfId="4" priority="3">
      <formula>$B6&lt;&gt;""</formula>
    </cfRule>
  </conditionalFormatting>
  <conditionalFormatting sqref="C10">
    <cfRule type="expression" dxfId="3" priority="1">
      <formula>$B10&lt;&gt;""</formula>
    </cfRule>
  </conditionalFormatting>
  <dataValidations count="2">
    <dataValidation type="list" allowBlank="1" showInputMessage="1" showErrorMessage="1" sqref="C10" xr:uid="{00000000-0002-0000-0E00-000000000000}">
      <formula1>"1,5,10"</formula1>
    </dataValidation>
    <dataValidation type="list" allowBlank="1" showInputMessage="1" showErrorMessage="1" sqref="C6" xr:uid="{00000000-0002-0000-0E00-000001000000}">
      <formula1>unique_year</formula1>
    </dataValidation>
  </dataValidations>
  <pageMargins left="0.7" right="0.7" top="0.75" bottom="0.75" header="0.3" footer="0.3"/>
  <pageSetup paperSize="9" orientation="portrait" verticalDpi="0" r:id="rId1"/>
  <drawing r:id="rId2"/>
  <extLst>
    <ext xmlns:x14="http://schemas.microsoft.com/office/spreadsheetml/2009/9/main" uri="{78C0D931-6437-407d-A8EE-F0AAD7539E65}">
      <x14:conditionalFormattings>
        <x14:conditionalFormatting xmlns:xm="http://schemas.microsoft.com/office/excel/2006/main">
          <x14:cfRule type="expression" priority="4" id="{244C9AC6-E06A-42C9-BB6F-FAC7E511567D}">
            <xm:f>AND($B6&lt;&gt;"",Accuracy!$E$11="No",Accuracy!$E$13="No")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x14:dxf>
          </x14:cfRule>
          <xm:sqref>C6</xm:sqref>
        </x14:conditionalFormatting>
        <x14:conditionalFormatting xmlns:xm="http://schemas.microsoft.com/office/excel/2006/main">
          <x14:cfRule type="expression" priority="2" id="{37A38E24-0E37-4BF7-BD96-BD881DD13C24}">
            <xm:f>AND($B10&lt;&gt;"",Accuracy!$E$11="No",Accuracy!$E$13="No")</xm:f>
            <x14:dxf>
              <fill>
                <patternFill>
                  <bgColor theme="0" tint="-0.14996795556505021"/>
                </patternFill>
              </fill>
              <border>
                <left style="dashed">
                  <color theme="0" tint="-0.24994659260841701"/>
                </left>
                <right style="dashed">
                  <color theme="0" tint="-0.24994659260841701"/>
                </right>
                <top style="dashed">
                  <color theme="0" tint="-0.24994659260841701"/>
                </top>
                <bottom style="dashed">
                  <color theme="0" tint="-0.24994659260841701"/>
                </bottom>
              </border>
            </x14:dxf>
          </x14:cfRule>
          <xm:sqref>C10</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Hoja12"/>
  <dimension ref="A1:AJ692"/>
  <sheetViews>
    <sheetView showGridLines="0" zoomScaleNormal="100" workbookViewId="0">
      <pane ySplit="1" topLeftCell="A2" activePane="bottomLeft" state="frozen"/>
      <selection pane="bottomLeft" activeCell="A4" sqref="A4"/>
    </sheetView>
  </sheetViews>
  <sheetFormatPr defaultColWidth="11.42578125" defaultRowHeight="15" x14ac:dyDescent="0.25"/>
  <cols>
    <col min="1" max="1" width="11.42578125" style="3"/>
    <col min="2" max="2" width="13.42578125" style="3" bestFit="1" customWidth="1"/>
    <col min="3" max="3" width="14.28515625" style="3" customWidth="1"/>
    <col min="4" max="4" width="11.85546875" style="3" bestFit="1" customWidth="1"/>
    <col min="5" max="5" width="19.140625" style="3" customWidth="1"/>
    <col min="6" max="6" width="11.42578125" style="3"/>
    <col min="7" max="7" width="26.42578125" style="3" customWidth="1"/>
    <col min="8" max="8" width="31.42578125" style="3" customWidth="1"/>
    <col min="9" max="9" width="13.42578125" style="3" bestFit="1" customWidth="1"/>
    <col min="10" max="10" width="50.85546875" style="3" customWidth="1"/>
    <col min="11" max="11" width="27.42578125" style="221" hidden="1" customWidth="1"/>
    <col min="12" max="12" width="28.85546875" style="221" hidden="1" customWidth="1"/>
    <col min="13" max="13" width="32.85546875" style="221" hidden="1" customWidth="1"/>
    <col min="14" max="14" width="27.42578125" style="221" hidden="1" customWidth="1"/>
    <col min="15" max="15" width="36.42578125" style="221" hidden="1" customWidth="1"/>
    <col min="16" max="16" width="35.85546875" style="221" hidden="1" customWidth="1"/>
    <col min="17" max="17" width="28.42578125" style="221" hidden="1" customWidth="1"/>
    <col min="18" max="18" width="27.28515625" style="221" hidden="1" customWidth="1"/>
    <col min="19" max="20" width="11.42578125" style="221" hidden="1" customWidth="1"/>
    <col min="21" max="21" width="23.42578125" style="221" hidden="1" customWidth="1"/>
    <col min="22" max="23" width="11.42578125" style="221" hidden="1" customWidth="1"/>
    <col min="24" max="24" width="3.140625" style="221" hidden="1" customWidth="1"/>
    <col min="25" max="32" width="11.42578125" style="78" customWidth="1"/>
    <col min="33" max="35" width="11.42578125" style="78" hidden="1" customWidth="1"/>
    <col min="36" max="36" width="11.42578125" style="78" customWidth="1"/>
    <col min="37" max="37" width="11.42578125" style="3" customWidth="1"/>
    <col min="38" max="16384" width="11.42578125" style="3"/>
  </cols>
  <sheetData>
    <row r="1" spans="1:36" s="32" customFormat="1" ht="120" customHeight="1" x14ac:dyDescent="0.25">
      <c r="K1" s="101"/>
      <c r="L1" s="101"/>
      <c r="M1" s="101"/>
      <c r="N1" s="101"/>
      <c r="O1" s="101"/>
      <c r="P1" s="101"/>
      <c r="Q1" s="101"/>
      <c r="R1" s="101"/>
      <c r="S1" s="101"/>
      <c r="T1" s="101"/>
      <c r="U1" s="101"/>
      <c r="V1" s="101"/>
      <c r="W1" s="101"/>
      <c r="X1" s="101"/>
      <c r="Y1" s="101"/>
      <c r="Z1" s="101"/>
      <c r="AA1" s="101"/>
      <c r="AB1" s="101"/>
      <c r="AC1" s="101"/>
      <c r="AD1" s="101"/>
      <c r="AE1" s="101"/>
      <c r="AF1" s="101"/>
      <c r="AG1" s="101"/>
      <c r="AH1" s="101"/>
      <c r="AI1" s="101"/>
      <c r="AJ1" s="101"/>
    </row>
    <row r="2" spans="1:36" ht="14.25" customHeight="1" x14ac:dyDescent="0.25"/>
    <row r="3" spans="1:36" ht="14.25" customHeight="1" x14ac:dyDescent="0.25"/>
    <row r="9" spans="1:36" ht="28.5" customHeight="1" x14ac:dyDescent="0.25"/>
    <row r="10" spans="1:36" ht="28.5" customHeight="1" x14ac:dyDescent="0.25">
      <c r="A10" s="10"/>
      <c r="B10" s="96" t="s">
        <v>15</v>
      </c>
      <c r="C10" s="96" t="s">
        <v>752</v>
      </c>
      <c r="D10" s="96" t="s">
        <v>0</v>
      </c>
      <c r="E10" s="96" t="s">
        <v>729</v>
      </c>
      <c r="F10" s="96" t="s">
        <v>1</v>
      </c>
      <c r="G10" s="96" t="s">
        <v>635</v>
      </c>
      <c r="H10" s="96" t="s">
        <v>636</v>
      </c>
      <c r="I10" s="96" t="s">
        <v>2</v>
      </c>
      <c r="J10" s="96" t="s">
        <v>1571</v>
      </c>
      <c r="K10" s="406" t="s">
        <v>739</v>
      </c>
      <c r="L10" s="406" t="s">
        <v>740</v>
      </c>
      <c r="M10" s="406" t="s">
        <v>741</v>
      </c>
      <c r="N10" s="406" t="s">
        <v>742</v>
      </c>
      <c r="O10" s="406" t="s">
        <v>743</v>
      </c>
      <c r="P10" s="407" t="s">
        <v>637</v>
      </c>
      <c r="Q10" s="407" t="s">
        <v>638</v>
      </c>
      <c r="R10" s="407" t="s">
        <v>696</v>
      </c>
      <c r="S10" s="407" t="s">
        <v>22</v>
      </c>
      <c r="T10" s="407" t="s">
        <v>7</v>
      </c>
      <c r="U10" s="407" t="s">
        <v>1441</v>
      </c>
      <c r="V10" s="407" t="s">
        <v>13</v>
      </c>
      <c r="W10" s="407" t="s">
        <v>1442</v>
      </c>
      <c r="X10" s="407" t="s">
        <v>12</v>
      </c>
      <c r="AG10" s="78">
        <v>0</v>
      </c>
      <c r="AH10" s="78">
        <f>ROUNDDOWN((AG11)/Inventory_data!$AL$17,0)</f>
        <v>0</v>
      </c>
      <c r="AI10" s="78">
        <f>ROUNDDOWN((AG11)/Strata!$P$15,0)</f>
        <v>0</v>
      </c>
    </row>
    <row r="11" spans="1:36" ht="17.25" customHeight="1" x14ac:dyDescent="0.25">
      <c r="B11" s="350">
        <f ca="1">IF(ISERROR(Simulation_assumptions!$D$19),"",IF(ROW(D11)&gt;Inventory_data!$AL$17*Simulation_assumptions!$D$19+10,"",OFFSET(Simulation_assumptions!$K$7,AH11,0)))</f>
        <v>5</v>
      </c>
      <c r="C11" s="350">
        <f ca="1">IF(ISERROR(Simulation_assumptions!$D$19),"",IF(ROW(C11)&gt;Inventory_data!$AL$17*Simulation_assumptions!$D$19+10,"",OFFSET(Inventory_data!$C$19,ROW(C11)-10-Inventory_data!$AL$17*INT((ROW(C11)-11)/Inventory_data!$AL$17),0,1,1)))</f>
        <v>2015</v>
      </c>
      <c r="D11" s="350" t="str">
        <f ca="1">IF(ISERROR(Simulation_assumptions!$D$19),"",IF(ROW(D11)&gt;Inventory_data!$AL$17*Simulation_assumptions!$D$19+10,"",OFFSET(Inventory_data!$D$19,ROW(D11)-10-Inventory_data!$AL$17*INT((ROW(D11)-11)/Inventory_data!$AL$17),0,1,1)))</f>
        <v>Private forest</v>
      </c>
      <c r="E11" s="350">
        <f ca="1">IF(D11&lt;&gt;"",VLOOKUP(D11,strata_tbl[],2,FALSE),"")</f>
        <v>200</v>
      </c>
      <c r="F11" s="350" t="str">
        <f ca="1">IF(ISERROR(Simulation_assumptions!$D$19),"",IF(ROW(D11)&gt;Inventory_data!$AL$17*Simulation_assumptions!$D$19+10,"",OFFSET(Inventory_data!$D$19,ROW(F11)-10-Inventory_data!$AL$17*INT((ROW(F11)-11)/Inventory_data!$AL$17),1,1,1)))</f>
        <v>Andira retusa</v>
      </c>
      <c r="G11" s="3">
        <f t="array" aca="1" ref="G11" ca="1">IF(B11&lt;&gt;"",IFERROR(INDEX(models_tbl10[Rotation period],MATCH(Inventory_Simulation!D11&amp;Inventory_Simulation!F11,(models_tbl10[Stratum]&amp;models_tbl10[Species]),0)),""),"")</f>
        <v>10</v>
      </c>
      <c r="H11" s="350">
        <f ca="1">IF(D11&lt;&gt;"",VLOOKUP(Inventory_Simulation!Q11,inventory_data_tbl[],7,FALSE),"")</f>
        <v>5</v>
      </c>
      <c r="I11" s="3">
        <f t="shared" ref="I11" ca="1" si="0">IF(D11&lt;&gt;"",IF(H11+B11&lt;=G11,(H11+B11),IF(H11+B11&lt;=(2*G11),(H11+B11-G11),(H11+B11-(ROUNDDOWN((H11+B11)/G11,0)*G11)))),"")</f>
        <v>10</v>
      </c>
      <c r="J11" s="33">
        <f ca="1">IF(D11&lt;&gt;"",IF(ISERROR(VLOOKUP(P11,All_Models!B:G,6,FALSE)),"",VLOOKUP(P11,All_Models!B:G,6,FALSE)),"")</f>
        <v>55</v>
      </c>
      <c r="K11" s="408">
        <f ca="1">IF(D11&lt;&gt;"",44/12*(1+V11)*W11*J11*T11*S11,"")</f>
        <v>266.84848886245254</v>
      </c>
      <c r="L11" s="408">
        <f ca="1">IF(D11&lt;&gt;"",(44/12)*Species!$I$18*Species!$I$21*'General Data'!$J$19*Species!$I$20,"")</f>
        <v>25.85</v>
      </c>
      <c r="M11" s="408">
        <f ca="1">IF(B11&lt;&gt;"",(VLOOKUP(D11,strata_tbl[],6,FALSE))*K11,"")</f>
        <v>5.3369697772490508</v>
      </c>
      <c r="N11" s="408">
        <f ca="1">IF(D11&lt;&gt;"",(VLOOKUP(D11,strata_tbl[],7,FALSE)*K11),"")</f>
        <v>10.673939554498102</v>
      </c>
      <c r="O11" s="408">
        <f t="array" aca="1" ref="O11" ca="1">IF(D11&lt;&gt;"",SUM(IF(ISERROR(K11:N37),"",K11:N37)),"")</f>
        <v>2116.1563619815593</v>
      </c>
      <c r="P11" s="221" t="str">
        <f t="shared" ref="P11" ca="1" si="1">IF(D11&lt;&gt;"",CONCATENATE(D11, "-",F11, "-", I11),"")</f>
        <v>Private forest-Andira retusa-10</v>
      </c>
      <c r="Q11" s="221" t="str">
        <f t="shared" ref="Q11" ca="1" si="2">IF(D11&lt;&gt;"",CONCATENATE(D11, "-", F11),"")</f>
        <v>Private forest-Andira retusa</v>
      </c>
      <c r="R11" s="221" t="str">
        <f t="shared" ref="R11" ca="1" si="3">IF(D11&lt;&gt;"",CONCATENATE(D11, "-",F11, "-", H11),"")</f>
        <v>Private forest-Andira retusa-5</v>
      </c>
      <c r="S11" s="409">
        <f ca="1">IF(B11&lt;&gt;"",VLOOKUP(F11,species_tbl[],4,FALSE),"")</f>
        <v>3.4</v>
      </c>
      <c r="T11" s="409">
        <f ca="1">IF(B11&lt;&gt;"",VLOOKUP(F11,species_tbl[],2,FALSE),"")</f>
        <v>0.67</v>
      </c>
      <c r="U11" s="221">
        <f t="shared" ref="U11" ca="1" si="4">T11*S11*J11</f>
        <v>125.29</v>
      </c>
      <c r="V11" s="221">
        <f t="shared" ref="V11" ca="1" si="5">IF(B11&lt;&gt;"",EXP(-1.085+0.9256*LN(U11))/(U11),"")</f>
        <v>0.23588781429382899</v>
      </c>
      <c r="W11" s="409">
        <f ca="1">IF(B11&lt;&gt;"",VLOOKUP(F11,species_tbl[],3,FALSE),"")</f>
        <v>0.47</v>
      </c>
      <c r="X11" s="463">
        <f ca="1">E11/(SUM(Models!$G$16:$G$16))</f>
        <v>1</v>
      </c>
      <c r="AG11" s="78">
        <f>AG10+1</f>
        <v>1</v>
      </c>
      <c r="AH11" s="78">
        <f>ROUNDDOWN((AG12)/Inventory_data!$AL$17,0)</f>
        <v>0</v>
      </c>
      <c r="AI11" s="78">
        <f>ROUNDDOWN((AG12)/Strata!$P$15,0)</f>
        <v>0</v>
      </c>
    </row>
    <row r="12" spans="1:36" ht="14.25" customHeight="1" x14ac:dyDescent="0.25">
      <c r="B12" s="350">
        <f ca="1">IF(ISERROR(Simulation_assumptions!$D$19),"",IF(ROW(D12)&gt;Inventory_data!$AL$17*Simulation_assumptions!$D$19+10,"",OFFSET(Simulation_assumptions!$K$7,AH12,0)))</f>
        <v>10</v>
      </c>
      <c r="C12" s="350">
        <f ca="1">IF(ISERROR(Simulation_assumptions!$D$19),"",IF(ROW(C12)&gt;Inventory_data!$AL$17*Simulation_assumptions!$D$19+10,"",OFFSET(Inventory_data!$C$19,ROW(C12)-10-Inventory_data!$AL$17*INT((ROW(C12)-11)/Inventory_data!$AL$17),0,1,1)))</f>
        <v>2015</v>
      </c>
      <c r="D12" s="350" t="str">
        <f ca="1">IF(ISERROR(Simulation_assumptions!$D$19),"",IF(ROW(D12)&gt;Inventory_data!$AL$17*Simulation_assumptions!$D$19+10,"",OFFSET(Inventory_data!$D$19,ROW(D12)-10-Inventory_data!$AL$17*INT((ROW(D12)-11)/Inventory_data!$AL$17),0,1,1)))</f>
        <v>Industrial Forest</v>
      </c>
      <c r="E12" s="350">
        <f ca="1">IF(D12&lt;&gt;"",VLOOKUP(D12,strata_tbl[],2,FALSE),"")</f>
        <v>100</v>
      </c>
      <c r="F12" s="350" t="str">
        <f ca="1">IF(ISERROR(Simulation_assumptions!$D$19),"",IF(ROW(D12)&gt;Inventory_data!$AL$17*Simulation_assumptions!$D$19+10,"",OFFSET(Inventory_data!$D$19,ROW(F12)-10-Inventory_data!$AL$17*INT((ROW(F12)-11)/Inventory_data!$AL$17),1,1,1)))</f>
        <v>Andira parviflora</v>
      </c>
      <c r="G12" s="350" t="str">
        <f t="array" aca="1" ref="G12" ca="1">IF(B12&lt;&gt;"",IFERROR(INDEX(models_tbl10[Rotation period],MATCH(Inventory_Simulation!D12&amp;Inventory_Simulation!F12,(models_tbl10[Stratum]&amp;models_tbl10[Species]),0)),""),"")</f>
        <v/>
      </c>
      <c r="H12" s="350">
        <f ca="1">IF(D12&lt;&gt;"",VLOOKUP(Inventory_Simulation!Q12,inventory_data_tbl[],7,FALSE),"")</f>
        <v>8</v>
      </c>
      <c r="I12" s="3">
        <f t="shared" ref="I12:I37" ca="1" si="6">IF(D12&lt;&gt;"",IF(H12+B12&lt;=G12,(H12+B12),IF(H12+B12&lt;=(2*G12),(H12+B12-G12),(H12+B12-(ROUNDDOWN((H12+B12)/G12,0)*G12)))),"")</f>
        <v>18</v>
      </c>
      <c r="J12" s="33" t="str">
        <f ca="1">IF(D12&lt;&gt;"",IF(ISERROR(VLOOKUP(P12,All_Models!B:G,6,FALSE)),"",VLOOKUP(P12,All_Models!B:G,6,FALSE)),"")</f>
        <v/>
      </c>
      <c r="K12" s="408" t="e">
        <f t="shared" ref="K12:K37" ca="1" si="7">IF(D12&lt;&gt;"",44/12*(1+V12)*W12*J12*T12*S12,"")</f>
        <v>#VALUE!</v>
      </c>
      <c r="L12" s="408">
        <f ca="1">IF(D12&lt;&gt;"",(44/12)*Species!$I$18*Species!$I$21*'General Data'!$J$19*Species!$I$20,"")</f>
        <v>25.85</v>
      </c>
      <c r="M12" s="408" t="e">
        <f ca="1">IF(B12&lt;&gt;"",(VLOOKUP(D12,strata_tbl[],6,FALSE))*K12,"")</f>
        <v>#VALUE!</v>
      </c>
      <c r="N12" s="408" t="e">
        <f ca="1">IF(D12&lt;&gt;"",(VLOOKUP(D12,strata_tbl[],7,FALSE)*K12),"")</f>
        <v>#VALUE!</v>
      </c>
      <c r="O12" s="408">
        <f t="array" aca="1" ref="O12" ca="1">IF(D12&lt;&gt;"",SUM(IF(ISERROR(K12:N12),"",K12:N12)),"")</f>
        <v>25.85</v>
      </c>
      <c r="P12" s="221" t="str">
        <f t="shared" ref="P12:P37" ca="1" si="8">IF(D12&lt;&gt;"",CONCATENATE(D12, "-",F12, "-", I12),"")</f>
        <v>Industrial Forest-Andira parviflora-18</v>
      </c>
      <c r="Q12" s="221" t="str">
        <f t="shared" ref="Q12:Q37" ca="1" si="9">IF(D12&lt;&gt;"",CONCATENATE(D12, "-", F12),"")</f>
        <v>Industrial Forest-Andira parviflora</v>
      </c>
      <c r="R12" s="221" t="str">
        <f t="shared" ref="R12:R37" ca="1" si="10">IF(D12&lt;&gt;"",CONCATENATE(D12, "-",F12, "-", H12),"")</f>
        <v>Industrial Forest-Andira parviflora-8</v>
      </c>
      <c r="S12" s="409">
        <f ca="1">IF(B12&lt;&gt;"",VLOOKUP(F12,species_tbl[],4,FALSE),"")</f>
        <v>3.4</v>
      </c>
      <c r="T12" s="409">
        <f ca="1">IF(B12&lt;&gt;"",VLOOKUP(F12,species_tbl[],2,FALSE),"")</f>
        <v>0.69</v>
      </c>
      <c r="U12" s="221" t="e">
        <f t="shared" ref="U12:U37" ca="1" si="11">T12*S12*J12</f>
        <v>#VALUE!</v>
      </c>
      <c r="V12" s="221" t="e">
        <f t="shared" ref="V12:V37" ca="1" si="12">IF(B12&lt;&gt;"",EXP(-1.085+0.9256*LN(U12))/(U12),"")</f>
        <v>#VALUE!</v>
      </c>
      <c r="W12" s="409">
        <f ca="1">IF(B12&lt;&gt;"",VLOOKUP(F12,species_tbl[],3,FALSE),"")</f>
        <v>0.47</v>
      </c>
      <c r="X12" s="409">
        <f ca="1">E12/(SUM(Models!$G$16:$G$16))</f>
        <v>0.5</v>
      </c>
      <c r="AG12" s="78">
        <f t="shared" ref="AG12:AG39" si="13">AG11+1</f>
        <v>2</v>
      </c>
      <c r="AH12" s="78">
        <f>ROUNDDOWN((AG13)/Inventory_data!$AL$17,0)</f>
        <v>1</v>
      </c>
      <c r="AI12" s="78">
        <f>ROUNDDOWN((AG13)/Strata!$P$15,0)</f>
        <v>1</v>
      </c>
    </row>
    <row r="13" spans="1:36" ht="14.25" customHeight="1" x14ac:dyDescent="0.25">
      <c r="B13" s="350">
        <f ca="1">IF(ISERROR(Simulation_assumptions!$D$19),"",IF(ROW(D13)&gt;Inventory_data!$AL$17*Simulation_assumptions!$D$19+10,"",OFFSET(Simulation_assumptions!$K$7,AH13,0)))</f>
        <v>10</v>
      </c>
      <c r="C13" s="350">
        <f ca="1">IF(ISERROR(Simulation_assumptions!$D$19),"",IF(ROW(C13)&gt;Inventory_data!$AL$17*Simulation_assumptions!$D$19+10,"",OFFSET(Inventory_data!$C$19,ROW(C13)-10-Inventory_data!$AL$17*INT((ROW(C13)-11)/Inventory_data!$AL$17),0,1,1)))</f>
        <v>2015</v>
      </c>
      <c r="D13" s="350" t="str">
        <f ca="1">IF(ISERROR(Simulation_assumptions!$D$19),"",IF(ROW(D13)&gt;Inventory_data!$AL$17*Simulation_assumptions!$D$19+10,"",OFFSET(Inventory_data!$D$19,ROW(D13)-10-Inventory_data!$AL$17*INT((ROW(D13)-11)/Inventory_data!$AL$17),0,1,1)))</f>
        <v>Plantation forest</v>
      </c>
      <c r="E13" s="350">
        <f ca="1">IF(D13&lt;&gt;"",VLOOKUP(D13,strata_tbl[],2,FALSE),"")</f>
        <v>200</v>
      </c>
      <c r="F13" s="350" t="str">
        <f ca="1">IF(ISERROR(Simulation_assumptions!$D$19),"",IF(ROW(D13)&gt;Inventory_data!$AL$17*Simulation_assumptions!$D$19+10,"",OFFSET(Inventory_data!$D$19,ROW(F13)-10-Inventory_data!$AL$17*INT((ROW(F13)-11)/Inventory_data!$AL$17),1,1,1)))</f>
        <v>Aniba amazonica</v>
      </c>
      <c r="G13" s="350" t="str">
        <f t="array" aca="1" ref="G13" ca="1">IF(B13&lt;&gt;"",IFERROR(INDEX(models_tbl10[Rotation period],MATCH(Inventory_Simulation!D13&amp;Inventory_Simulation!F13,(models_tbl10[Stratum]&amp;models_tbl10[Species]),0)),""),"")</f>
        <v/>
      </c>
      <c r="H13" s="350">
        <f ca="1">IF(D13&lt;&gt;"",VLOOKUP(Inventory_Simulation!Q13,inventory_data_tbl[],7,FALSE),"")</f>
        <v>20</v>
      </c>
      <c r="I13" s="3">
        <f t="shared" ca="1" si="6"/>
        <v>30</v>
      </c>
      <c r="J13" s="33" t="str">
        <f ca="1">IF(D13&lt;&gt;"",IF(ISERROR(VLOOKUP(P13,All_Models!B:G,6,FALSE)),"",VLOOKUP(P13,All_Models!B:G,6,FALSE)),"")</f>
        <v/>
      </c>
      <c r="K13" s="408" t="e">
        <f t="shared" ca="1" si="7"/>
        <v>#VALUE!</v>
      </c>
      <c r="L13" s="408">
        <f ca="1">IF(D13&lt;&gt;"",(44/12)*Species!$I$18*Species!$I$21*'General Data'!$J$19*Species!$I$20,"")</f>
        <v>25.85</v>
      </c>
      <c r="M13" s="408" t="e">
        <f ca="1">IF(B13&lt;&gt;"",(VLOOKUP(D13,strata_tbl[],6,FALSE))*K13,"")</f>
        <v>#VALUE!</v>
      </c>
      <c r="N13" s="408" t="e">
        <f ca="1">IF(D13&lt;&gt;"",(VLOOKUP(D13,strata_tbl[],7,FALSE)*K13),"")</f>
        <v>#VALUE!</v>
      </c>
      <c r="O13" s="408">
        <f t="array" aca="1" ref="O13" ca="1">IF(D13&lt;&gt;"",SUM(IF(ISERROR(K13:N13),"",K13:N13)),"")</f>
        <v>25.85</v>
      </c>
      <c r="P13" s="221" t="str">
        <f t="shared" ca="1" si="8"/>
        <v>Plantation forest-Aniba amazonica-30</v>
      </c>
      <c r="Q13" s="221" t="str">
        <f t="shared" ca="1" si="9"/>
        <v>Plantation forest-Aniba amazonica</v>
      </c>
      <c r="R13" s="221" t="str">
        <f t="shared" ca="1" si="10"/>
        <v>Plantation forest-Aniba amazonica-20</v>
      </c>
      <c r="S13" s="409">
        <f ca="1">IF(B13&lt;&gt;"",VLOOKUP(F13,species_tbl[],4,FALSE),"")</f>
        <v>3.4</v>
      </c>
      <c r="T13" s="409">
        <f ca="1">IF(B13&lt;&gt;"",VLOOKUP(F13,species_tbl[],2,FALSE),"")</f>
        <v>0.56000000000000005</v>
      </c>
      <c r="U13" s="221" t="e">
        <f t="shared" ca="1" si="11"/>
        <v>#VALUE!</v>
      </c>
      <c r="V13" s="221" t="e">
        <f t="shared" ca="1" si="12"/>
        <v>#VALUE!</v>
      </c>
      <c r="W13" s="409">
        <f ca="1">IF(B13&lt;&gt;"",VLOOKUP(F13,species_tbl[],3,FALSE),"")</f>
        <v>0.47</v>
      </c>
      <c r="X13" s="409">
        <f ca="1">E13/(SUM(Models!$G$16:$G$16))</f>
        <v>1</v>
      </c>
      <c r="AG13" s="78">
        <f t="shared" si="13"/>
        <v>3</v>
      </c>
      <c r="AH13" s="78">
        <f>ROUNDDOWN((AG14)/Inventory_data!$AL$17,0)</f>
        <v>1</v>
      </c>
      <c r="AI13" s="78">
        <f>ROUNDDOWN((AG14)/Strata!$P$15,0)</f>
        <v>1</v>
      </c>
    </row>
    <row r="14" spans="1:36" x14ac:dyDescent="0.25">
      <c r="B14" s="350">
        <f ca="1">IF(ISERROR(Simulation_assumptions!$D$19),"",IF(ROW(D14)&gt;Inventory_data!$AL$17*Simulation_assumptions!$D$19+10,"",OFFSET(Simulation_assumptions!$K$7,AH14,0)))</f>
        <v>10</v>
      </c>
      <c r="C14" s="350">
        <f ca="1">IF(ISERROR(Simulation_assumptions!$D$19),"",IF(ROW(C14)&gt;Inventory_data!$AL$17*Simulation_assumptions!$D$19+10,"",OFFSET(Inventory_data!$C$19,ROW(C14)-10-Inventory_data!$AL$17*INT((ROW(C14)-11)/Inventory_data!$AL$17),0,1,1)))</f>
        <v>2015</v>
      </c>
      <c r="D14" s="350" t="str">
        <f ca="1">IF(ISERROR(Simulation_assumptions!$D$19),"",IF(ROW(D14)&gt;Inventory_data!$AL$17*Simulation_assumptions!$D$19+10,"",OFFSET(Inventory_data!$D$19,ROW(D14)-10-Inventory_data!$AL$17*INT((ROW(D14)-11)/Inventory_data!$AL$17),0,1,1)))</f>
        <v>Private forest</v>
      </c>
      <c r="E14" s="350">
        <f ca="1">IF(D14&lt;&gt;"",VLOOKUP(D14,strata_tbl[],2,FALSE),"")</f>
        <v>200</v>
      </c>
      <c r="F14" s="350" t="str">
        <f ca="1">IF(ISERROR(Simulation_assumptions!$D$19),"",IF(ROW(D14)&gt;Inventory_data!$AL$17*Simulation_assumptions!$D$19+10,"",OFFSET(Inventory_data!$D$19,ROW(F14)-10-Inventory_data!$AL$17*INT((ROW(F14)-11)/Inventory_data!$AL$17),1,1,1)))</f>
        <v>Andira retusa</v>
      </c>
      <c r="G14" s="350">
        <f t="array" aca="1" ref="G14" ca="1">IF(B14&lt;&gt;"",IFERROR(INDEX(models_tbl10[Rotation period],MATCH(Inventory_Simulation!D14&amp;Inventory_Simulation!F14,(models_tbl10[Stratum]&amp;models_tbl10[Species]),0)),""),"")</f>
        <v>10</v>
      </c>
      <c r="H14" s="350">
        <f ca="1">IF(D14&lt;&gt;"",VLOOKUP(Inventory_Simulation!Q14,inventory_data_tbl[],7,FALSE),"")</f>
        <v>5</v>
      </c>
      <c r="I14" s="3">
        <f t="shared" ca="1" si="6"/>
        <v>5</v>
      </c>
      <c r="J14" s="33">
        <f ca="1">IF(D14&lt;&gt;"",IF(ISERROR(VLOOKUP(P14,All_Models!B:G,6,FALSE)),"",VLOOKUP(P14,All_Models!B:G,6,FALSE)),"")</f>
        <v>30</v>
      </c>
      <c r="K14" s="408">
        <f t="shared" ca="1" si="7"/>
        <v>146.83523127090882</v>
      </c>
      <c r="L14" s="408">
        <f ca="1">IF(D14&lt;&gt;"",(44/12)*Species!$I$18*Species!$I$21*'General Data'!$J$19*Species!$I$20,"")</f>
        <v>25.85</v>
      </c>
      <c r="M14" s="408">
        <f ca="1">IF(B14&lt;&gt;"",(VLOOKUP(D14,strata_tbl[],6,FALSE))*K14,"")</f>
        <v>2.9367046254181766</v>
      </c>
      <c r="N14" s="408">
        <f ca="1">IF(D14&lt;&gt;"",(VLOOKUP(D14,strata_tbl[],7,FALSE)*K14),"")</f>
        <v>5.8734092508363531</v>
      </c>
      <c r="O14" s="408">
        <f t="array" aca="1" ref="O14" ca="1">IF(D14&lt;&gt;"",SUM(IF(ISERROR(K14:N14),"",K14:N14)),"")</f>
        <v>181.49534514716333</v>
      </c>
      <c r="P14" s="221" t="str">
        <f t="shared" ca="1" si="8"/>
        <v>Private forest-Andira retusa-5</v>
      </c>
      <c r="Q14" s="221" t="str">
        <f t="shared" ca="1" si="9"/>
        <v>Private forest-Andira retusa</v>
      </c>
      <c r="R14" s="221" t="str">
        <f t="shared" ca="1" si="10"/>
        <v>Private forest-Andira retusa-5</v>
      </c>
      <c r="S14" s="409">
        <f ca="1">IF(B14&lt;&gt;"",VLOOKUP(F14,species_tbl[],4,FALSE),"")</f>
        <v>3.4</v>
      </c>
      <c r="T14" s="409">
        <f ca="1">IF(B14&lt;&gt;"",VLOOKUP(F14,species_tbl[],2,FALSE),"")</f>
        <v>0.67</v>
      </c>
      <c r="U14" s="221">
        <f t="shared" ca="1" si="11"/>
        <v>68.34</v>
      </c>
      <c r="V14" s="221">
        <f t="shared" ca="1" si="12"/>
        <v>0.24676903856167587</v>
      </c>
      <c r="W14" s="409">
        <f ca="1">IF(B14&lt;&gt;"",VLOOKUP(F14,species_tbl[],3,FALSE),"")</f>
        <v>0.47</v>
      </c>
      <c r="X14" s="409">
        <f ca="1">E14/(SUM(Models!$G$16:$G$16))</f>
        <v>1</v>
      </c>
      <c r="AG14" s="78">
        <f t="shared" si="13"/>
        <v>4</v>
      </c>
      <c r="AH14" s="78">
        <f>ROUNDDOWN((AG15)/Inventory_data!$AL$17,0)</f>
        <v>1</v>
      </c>
      <c r="AI14" s="78">
        <f>ROUNDDOWN((AG15)/Strata!$P$15,0)</f>
        <v>1</v>
      </c>
    </row>
    <row r="15" spans="1:36" x14ac:dyDescent="0.25">
      <c r="B15" s="350">
        <f ca="1">IF(ISERROR(Simulation_assumptions!$D$19),"",IF(ROW(D15)&gt;Inventory_data!$AL$17*Simulation_assumptions!$D$19+10,"",OFFSET(Simulation_assumptions!$K$7,AH15,0)))</f>
        <v>15</v>
      </c>
      <c r="C15" s="350">
        <f ca="1">IF(ISERROR(Simulation_assumptions!$D$19),"",IF(ROW(C15)&gt;Inventory_data!$AL$17*Simulation_assumptions!$D$19+10,"",OFFSET(Inventory_data!$C$19,ROW(C15)-10-Inventory_data!$AL$17*INT((ROW(C15)-11)/Inventory_data!$AL$17),0,1,1)))</f>
        <v>2015</v>
      </c>
      <c r="D15" s="350" t="str">
        <f ca="1">IF(ISERROR(Simulation_assumptions!$D$19),"",IF(ROW(D15)&gt;Inventory_data!$AL$17*Simulation_assumptions!$D$19+10,"",OFFSET(Inventory_data!$D$19,ROW(D15)-10-Inventory_data!$AL$17*INT((ROW(D15)-11)/Inventory_data!$AL$17),0,1,1)))</f>
        <v>Industrial Forest</v>
      </c>
      <c r="E15" s="350">
        <f ca="1">IF(D15&lt;&gt;"",VLOOKUP(D15,strata_tbl[],2,FALSE),"")</f>
        <v>100</v>
      </c>
      <c r="F15" s="350" t="str">
        <f ca="1">IF(ISERROR(Simulation_assumptions!$D$19),"",IF(ROW(D15)&gt;Inventory_data!$AL$17*Simulation_assumptions!$D$19+10,"",OFFSET(Inventory_data!$D$19,ROW(F15)-10-Inventory_data!$AL$17*INT((ROW(F15)-11)/Inventory_data!$AL$17),1,1,1)))</f>
        <v>Andira parviflora</v>
      </c>
      <c r="G15" s="350" t="str">
        <f t="array" aca="1" ref="G15" ca="1">IF(B15&lt;&gt;"",IFERROR(INDEX(models_tbl10[Rotation period],MATCH(Inventory_Simulation!D15&amp;Inventory_Simulation!F15,(models_tbl10[Stratum]&amp;models_tbl10[Species]),0)),""),"")</f>
        <v/>
      </c>
      <c r="H15" s="350">
        <f ca="1">IF(D15&lt;&gt;"",VLOOKUP(Inventory_Simulation!Q15,inventory_data_tbl[],7,FALSE),"")</f>
        <v>8</v>
      </c>
      <c r="I15" s="3">
        <f t="shared" ca="1" si="6"/>
        <v>23</v>
      </c>
      <c r="J15" s="33" t="str">
        <f ca="1">IF(D15&lt;&gt;"",IF(ISERROR(VLOOKUP(P15,All_Models!B:G,6,FALSE)),"",VLOOKUP(P15,All_Models!B:G,6,FALSE)),"")</f>
        <v/>
      </c>
      <c r="K15" s="408" t="e">
        <f t="shared" ca="1" si="7"/>
        <v>#VALUE!</v>
      </c>
      <c r="L15" s="408">
        <f ca="1">IF(D15&lt;&gt;"",(44/12)*Species!$I$18*Species!$I$21*'General Data'!$J$19*Species!$I$20,"")</f>
        <v>25.85</v>
      </c>
      <c r="M15" s="408" t="e">
        <f ca="1">IF(B15&lt;&gt;"",(VLOOKUP(D15,strata_tbl[],6,FALSE))*K15,"")</f>
        <v>#VALUE!</v>
      </c>
      <c r="N15" s="408" t="e">
        <f ca="1">IF(D15&lt;&gt;"",(VLOOKUP(D15,strata_tbl[],7,FALSE)*K15),"")</f>
        <v>#VALUE!</v>
      </c>
      <c r="O15" s="408">
        <f t="array" aca="1" ref="O15" ca="1">IF(D15&lt;&gt;"",SUM(IF(ISERROR(K15:N15),"",K15:N15)),"")</f>
        <v>25.85</v>
      </c>
      <c r="P15" s="221" t="str">
        <f t="shared" ca="1" si="8"/>
        <v>Industrial Forest-Andira parviflora-23</v>
      </c>
      <c r="Q15" s="221" t="str">
        <f t="shared" ca="1" si="9"/>
        <v>Industrial Forest-Andira parviflora</v>
      </c>
      <c r="R15" s="221" t="str">
        <f t="shared" ca="1" si="10"/>
        <v>Industrial Forest-Andira parviflora-8</v>
      </c>
      <c r="S15" s="409">
        <f ca="1">IF(B15&lt;&gt;"",VLOOKUP(F15,species_tbl[],4,FALSE),"")</f>
        <v>3.4</v>
      </c>
      <c r="T15" s="409">
        <f ca="1">IF(B15&lt;&gt;"",VLOOKUP(F15,species_tbl[],2,FALSE),"")</f>
        <v>0.69</v>
      </c>
      <c r="U15" s="221" t="e">
        <f t="shared" ca="1" si="11"/>
        <v>#VALUE!</v>
      </c>
      <c r="V15" s="221" t="e">
        <f t="shared" ca="1" si="12"/>
        <v>#VALUE!</v>
      </c>
      <c r="W15" s="409">
        <f ca="1">IF(B15&lt;&gt;"",VLOOKUP(F15,species_tbl[],3,FALSE),"")</f>
        <v>0.47</v>
      </c>
      <c r="X15" s="409">
        <f ca="1">E15/(SUM(Models!$G$16:$G$16))</f>
        <v>0.5</v>
      </c>
      <c r="AG15" s="78">
        <f t="shared" si="13"/>
        <v>5</v>
      </c>
      <c r="AH15" s="78">
        <f>ROUNDDOWN((AG16)/Inventory_data!$AL$17,0)</f>
        <v>2</v>
      </c>
      <c r="AI15" s="78">
        <f>ROUNDDOWN((AG16)/Strata!$P$15,0)</f>
        <v>2</v>
      </c>
    </row>
    <row r="16" spans="1:36" x14ac:dyDescent="0.25">
      <c r="B16" s="350">
        <f ca="1">IF(ISERROR(Simulation_assumptions!$D$19),"",IF(ROW(D16)&gt;Inventory_data!$AL$17*Simulation_assumptions!$D$19+10,"",OFFSET(Simulation_assumptions!$K$7,AH16,0)))</f>
        <v>15</v>
      </c>
      <c r="C16" s="350">
        <f ca="1">IF(ISERROR(Simulation_assumptions!$D$19),"",IF(ROW(C16)&gt;Inventory_data!$AL$17*Simulation_assumptions!$D$19+10,"",OFFSET(Inventory_data!$C$19,ROW(C16)-10-Inventory_data!$AL$17*INT((ROW(C16)-11)/Inventory_data!$AL$17),0,1,1)))</f>
        <v>2015</v>
      </c>
      <c r="D16" s="350" t="str">
        <f ca="1">IF(ISERROR(Simulation_assumptions!$D$19),"",IF(ROW(D16)&gt;Inventory_data!$AL$17*Simulation_assumptions!$D$19+10,"",OFFSET(Inventory_data!$D$19,ROW(D16)-10-Inventory_data!$AL$17*INT((ROW(D16)-11)/Inventory_data!$AL$17),0,1,1)))</f>
        <v>Plantation forest</v>
      </c>
      <c r="E16" s="350">
        <f ca="1">IF(D16&lt;&gt;"",VLOOKUP(D16,strata_tbl[],2,FALSE),"")</f>
        <v>200</v>
      </c>
      <c r="F16" s="350" t="str">
        <f ca="1">IF(ISERROR(Simulation_assumptions!$D$19),"",IF(ROW(D16)&gt;Inventory_data!$AL$17*Simulation_assumptions!$D$19+10,"",OFFSET(Inventory_data!$D$19,ROW(F16)-10-Inventory_data!$AL$17*INT((ROW(F16)-11)/Inventory_data!$AL$17),1,1,1)))</f>
        <v>Aniba amazonica</v>
      </c>
      <c r="G16" s="350" t="str">
        <f t="array" aca="1" ref="G16" ca="1">IF(B16&lt;&gt;"",IFERROR(INDEX(models_tbl10[Rotation period],MATCH(Inventory_Simulation!D16&amp;Inventory_Simulation!F16,(models_tbl10[Stratum]&amp;models_tbl10[Species]),0)),""),"")</f>
        <v/>
      </c>
      <c r="H16" s="350">
        <f ca="1">IF(D16&lt;&gt;"",VLOOKUP(Inventory_Simulation!Q16,inventory_data_tbl[],7,FALSE),"")</f>
        <v>20</v>
      </c>
      <c r="I16" s="3">
        <f t="shared" ca="1" si="6"/>
        <v>35</v>
      </c>
      <c r="J16" s="33" t="str">
        <f ca="1">IF(D16&lt;&gt;"",IF(ISERROR(VLOOKUP(P16,All_Models!B:G,6,FALSE)),"",VLOOKUP(P16,All_Models!B:G,6,FALSE)),"")</f>
        <v/>
      </c>
      <c r="K16" s="408" t="e">
        <f t="shared" ca="1" si="7"/>
        <v>#VALUE!</v>
      </c>
      <c r="L16" s="408">
        <f ca="1">IF(D16&lt;&gt;"",(44/12)*Species!$I$18*Species!$I$21*'General Data'!$J$19*Species!$I$20,"")</f>
        <v>25.85</v>
      </c>
      <c r="M16" s="408" t="e">
        <f ca="1">IF(B16&lt;&gt;"",(VLOOKUP(D16,strata_tbl[],6,FALSE))*K16,"")</f>
        <v>#VALUE!</v>
      </c>
      <c r="N16" s="408" t="e">
        <f ca="1">IF(D16&lt;&gt;"",(VLOOKUP(D16,strata_tbl[],7,FALSE)*K16),"")</f>
        <v>#VALUE!</v>
      </c>
      <c r="O16" s="408">
        <f t="array" aca="1" ref="O16" ca="1">IF(D16&lt;&gt;"",SUM(IF(ISERROR(K16:N16),"",K16:N16)),"")</f>
        <v>25.85</v>
      </c>
      <c r="P16" s="221" t="str">
        <f t="shared" ca="1" si="8"/>
        <v>Plantation forest-Aniba amazonica-35</v>
      </c>
      <c r="Q16" s="221" t="str">
        <f t="shared" ca="1" si="9"/>
        <v>Plantation forest-Aniba amazonica</v>
      </c>
      <c r="R16" s="221" t="str">
        <f t="shared" ca="1" si="10"/>
        <v>Plantation forest-Aniba amazonica-20</v>
      </c>
      <c r="S16" s="409">
        <f ca="1">IF(B16&lt;&gt;"",VLOOKUP(F16,species_tbl[],4,FALSE),"")</f>
        <v>3.4</v>
      </c>
      <c r="T16" s="409">
        <f ca="1">IF(B16&lt;&gt;"",VLOOKUP(F16,species_tbl[],2,FALSE),"")</f>
        <v>0.56000000000000005</v>
      </c>
      <c r="U16" s="221" t="e">
        <f t="shared" ca="1" si="11"/>
        <v>#VALUE!</v>
      </c>
      <c r="V16" s="221" t="e">
        <f t="shared" ca="1" si="12"/>
        <v>#VALUE!</v>
      </c>
      <c r="W16" s="409">
        <f ca="1">IF(B16&lt;&gt;"",VLOOKUP(F16,species_tbl[],3,FALSE),"")</f>
        <v>0.47</v>
      </c>
      <c r="X16" s="409">
        <f ca="1">E16/(SUM(Models!$G$16:$G$16))</f>
        <v>1</v>
      </c>
      <c r="AG16" s="78">
        <f t="shared" si="13"/>
        <v>6</v>
      </c>
      <c r="AH16" s="78">
        <f>ROUNDDOWN((AG17)/Inventory_data!$AL$17,0)</f>
        <v>2</v>
      </c>
      <c r="AI16" s="78">
        <f>ROUNDDOWN((AG17)/Strata!$P$15,0)</f>
        <v>2</v>
      </c>
    </row>
    <row r="17" spans="2:35" x14ac:dyDescent="0.25">
      <c r="B17" s="350">
        <f ca="1">IF(ISERROR(Simulation_assumptions!$D$19),"",IF(ROW(D17)&gt;Inventory_data!$AL$17*Simulation_assumptions!$D$19+10,"",OFFSET(Simulation_assumptions!$K$7,AH17,0)))</f>
        <v>15</v>
      </c>
      <c r="C17" s="350">
        <f ca="1">IF(ISERROR(Simulation_assumptions!$D$19),"",IF(ROW(C17)&gt;Inventory_data!$AL$17*Simulation_assumptions!$D$19+10,"",OFFSET(Inventory_data!$C$19,ROW(C17)-10-Inventory_data!$AL$17*INT((ROW(C17)-11)/Inventory_data!$AL$17),0,1,1)))</f>
        <v>2015</v>
      </c>
      <c r="D17" s="350" t="str">
        <f ca="1">IF(ISERROR(Simulation_assumptions!$D$19),"",IF(ROW(D17)&gt;Inventory_data!$AL$17*Simulation_assumptions!$D$19+10,"",OFFSET(Inventory_data!$D$19,ROW(D17)-10-Inventory_data!$AL$17*INT((ROW(D17)-11)/Inventory_data!$AL$17),0,1,1)))</f>
        <v>Private forest</v>
      </c>
      <c r="E17" s="350">
        <f ca="1">IF(D17&lt;&gt;"",VLOOKUP(D17,strata_tbl[],2,FALSE),"")</f>
        <v>200</v>
      </c>
      <c r="F17" s="350" t="str">
        <f ca="1">IF(ISERROR(Simulation_assumptions!$D$19),"",IF(ROW(D17)&gt;Inventory_data!$AL$17*Simulation_assumptions!$D$19+10,"",OFFSET(Inventory_data!$D$19,ROW(F17)-10-Inventory_data!$AL$17*INT((ROW(F17)-11)/Inventory_data!$AL$17),1,1,1)))</f>
        <v>Andira retusa</v>
      </c>
      <c r="G17" s="350">
        <f t="array" aca="1" ref="G17" ca="1">IF(B17&lt;&gt;"",IFERROR(INDEX(models_tbl10[Rotation period],MATCH(Inventory_Simulation!D17&amp;Inventory_Simulation!F17,(models_tbl10[Stratum]&amp;models_tbl10[Species]),0)),""),"")</f>
        <v>10</v>
      </c>
      <c r="H17" s="350">
        <f ca="1">IF(D17&lt;&gt;"",VLOOKUP(Inventory_Simulation!Q17,inventory_data_tbl[],7,FALSE),"")</f>
        <v>5</v>
      </c>
      <c r="I17" s="3">
        <f t="shared" ca="1" si="6"/>
        <v>10</v>
      </c>
      <c r="J17" s="33">
        <f ca="1">IF(D17&lt;&gt;"",IF(ISERROR(VLOOKUP(P17,All_Models!B:G,6,FALSE)),"",VLOOKUP(P17,All_Models!B:G,6,FALSE)),"")</f>
        <v>55</v>
      </c>
      <c r="K17" s="408">
        <f t="shared" ca="1" si="7"/>
        <v>266.84848886245254</v>
      </c>
      <c r="L17" s="408">
        <f ca="1">IF(D17&lt;&gt;"",(44/12)*Species!$I$18*Species!$I$21*'General Data'!$J$19*Species!$I$20,"")</f>
        <v>25.85</v>
      </c>
      <c r="M17" s="408">
        <f ca="1">IF(B17&lt;&gt;"",(VLOOKUP(D17,strata_tbl[],6,FALSE))*K17,"")</f>
        <v>5.3369697772490508</v>
      </c>
      <c r="N17" s="408">
        <f ca="1">IF(D17&lt;&gt;"",(VLOOKUP(D17,strata_tbl[],7,FALSE)*K17),"")</f>
        <v>10.673939554498102</v>
      </c>
      <c r="O17" s="408">
        <f t="array" aca="1" ref="O17" ca="1">IF(D17&lt;&gt;"",SUM(IF(ISERROR(K17:N17),"",K17:N17)),"")</f>
        <v>308.70939819419971</v>
      </c>
      <c r="P17" s="221" t="str">
        <f t="shared" ca="1" si="8"/>
        <v>Private forest-Andira retusa-10</v>
      </c>
      <c r="Q17" s="221" t="str">
        <f t="shared" ca="1" si="9"/>
        <v>Private forest-Andira retusa</v>
      </c>
      <c r="R17" s="221" t="str">
        <f t="shared" ca="1" si="10"/>
        <v>Private forest-Andira retusa-5</v>
      </c>
      <c r="S17" s="409">
        <f ca="1">IF(B17&lt;&gt;"",VLOOKUP(F17,species_tbl[],4,FALSE),"")</f>
        <v>3.4</v>
      </c>
      <c r="T17" s="409">
        <f ca="1">IF(B17&lt;&gt;"",VLOOKUP(F17,species_tbl[],2,FALSE),"")</f>
        <v>0.67</v>
      </c>
      <c r="U17" s="221">
        <f t="shared" ca="1" si="11"/>
        <v>125.29</v>
      </c>
      <c r="V17" s="221">
        <f t="shared" ca="1" si="12"/>
        <v>0.23588781429382899</v>
      </c>
      <c r="W17" s="409">
        <f ca="1">IF(B17&lt;&gt;"",VLOOKUP(F17,species_tbl[],3,FALSE),"")</f>
        <v>0.47</v>
      </c>
      <c r="X17" s="409">
        <f ca="1">E17/(SUM(Models!$G$16:$G$16))</f>
        <v>1</v>
      </c>
      <c r="AG17" s="78">
        <f t="shared" si="13"/>
        <v>7</v>
      </c>
      <c r="AH17" s="78">
        <f>ROUNDDOWN((AG18)/Inventory_data!$AL$17,0)</f>
        <v>2</v>
      </c>
      <c r="AI17" s="78">
        <f>ROUNDDOWN((AG18)/Strata!$P$15,0)</f>
        <v>2</v>
      </c>
    </row>
    <row r="18" spans="2:35" x14ac:dyDescent="0.25">
      <c r="B18" s="350">
        <f ca="1">IF(ISERROR(Simulation_assumptions!$D$19),"",IF(ROW(D18)&gt;Inventory_data!$AL$17*Simulation_assumptions!$D$19+10,"",OFFSET(Simulation_assumptions!$K$7,AH18,0)))</f>
        <v>20</v>
      </c>
      <c r="C18" s="350">
        <f ca="1">IF(ISERROR(Simulation_assumptions!$D$19),"",IF(ROW(C18)&gt;Inventory_data!$AL$17*Simulation_assumptions!$D$19+10,"",OFFSET(Inventory_data!$C$19,ROW(C18)-10-Inventory_data!$AL$17*INT((ROW(C18)-11)/Inventory_data!$AL$17),0,1,1)))</f>
        <v>2015</v>
      </c>
      <c r="D18" s="350" t="str">
        <f ca="1">IF(ISERROR(Simulation_assumptions!$D$19),"",IF(ROW(D18)&gt;Inventory_data!$AL$17*Simulation_assumptions!$D$19+10,"",OFFSET(Inventory_data!$D$19,ROW(D18)-10-Inventory_data!$AL$17*INT((ROW(D18)-11)/Inventory_data!$AL$17),0,1,1)))</f>
        <v>Industrial Forest</v>
      </c>
      <c r="E18" s="350">
        <f ca="1">IF(D18&lt;&gt;"",VLOOKUP(D18,strata_tbl[],2,FALSE),"")</f>
        <v>100</v>
      </c>
      <c r="F18" s="350" t="str">
        <f ca="1">IF(ISERROR(Simulation_assumptions!$D$19),"",IF(ROW(D18)&gt;Inventory_data!$AL$17*Simulation_assumptions!$D$19+10,"",OFFSET(Inventory_data!$D$19,ROW(F18)-10-Inventory_data!$AL$17*INT((ROW(F18)-11)/Inventory_data!$AL$17),1,1,1)))</f>
        <v>Andira parviflora</v>
      </c>
      <c r="G18" s="350" t="str">
        <f t="array" aca="1" ref="G18" ca="1">IF(B18&lt;&gt;"",IFERROR(INDEX(models_tbl10[Rotation period],MATCH(Inventory_Simulation!D18&amp;Inventory_Simulation!F18,(models_tbl10[Stratum]&amp;models_tbl10[Species]),0)),""),"")</f>
        <v/>
      </c>
      <c r="H18" s="350">
        <f ca="1">IF(D18&lt;&gt;"",VLOOKUP(Inventory_Simulation!Q18,inventory_data_tbl[],7,FALSE),"")</f>
        <v>8</v>
      </c>
      <c r="I18" s="3">
        <f t="shared" ca="1" si="6"/>
        <v>28</v>
      </c>
      <c r="J18" s="33" t="str">
        <f ca="1">IF(D18&lt;&gt;"",IF(ISERROR(VLOOKUP(P18,All_Models!B:G,6,FALSE)),"",VLOOKUP(P18,All_Models!B:G,6,FALSE)),"")</f>
        <v/>
      </c>
      <c r="K18" s="408" t="e">
        <f t="shared" ca="1" si="7"/>
        <v>#VALUE!</v>
      </c>
      <c r="L18" s="408">
        <f ca="1">IF(D18&lt;&gt;"",(44/12)*Species!$I$18*Species!$I$21*'General Data'!$J$19*Species!$I$20,"")</f>
        <v>25.85</v>
      </c>
      <c r="M18" s="408" t="e">
        <f ca="1">IF(B18&lt;&gt;"",(VLOOKUP(D18,strata_tbl[],6,FALSE))*K18,"")</f>
        <v>#VALUE!</v>
      </c>
      <c r="N18" s="408" t="e">
        <f ca="1">IF(D18&lt;&gt;"",(VLOOKUP(D18,strata_tbl[],7,FALSE)*K18),"")</f>
        <v>#VALUE!</v>
      </c>
      <c r="O18" s="408">
        <f t="array" aca="1" ref="O18" ca="1">IF(D18&lt;&gt;"",SUM(IF(ISERROR(K18:N18),"",K18:N18)),"")</f>
        <v>25.85</v>
      </c>
      <c r="P18" s="221" t="str">
        <f t="shared" ca="1" si="8"/>
        <v>Industrial Forest-Andira parviflora-28</v>
      </c>
      <c r="Q18" s="221" t="str">
        <f t="shared" ca="1" si="9"/>
        <v>Industrial Forest-Andira parviflora</v>
      </c>
      <c r="R18" s="221" t="str">
        <f t="shared" ca="1" si="10"/>
        <v>Industrial Forest-Andira parviflora-8</v>
      </c>
      <c r="S18" s="409">
        <f ca="1">IF(B18&lt;&gt;"",VLOOKUP(F18,species_tbl[],4,FALSE),"")</f>
        <v>3.4</v>
      </c>
      <c r="T18" s="409">
        <f ca="1">IF(B18&lt;&gt;"",VLOOKUP(F18,species_tbl[],2,FALSE),"")</f>
        <v>0.69</v>
      </c>
      <c r="U18" s="221" t="e">
        <f t="shared" ca="1" si="11"/>
        <v>#VALUE!</v>
      </c>
      <c r="V18" s="221" t="e">
        <f t="shared" ca="1" si="12"/>
        <v>#VALUE!</v>
      </c>
      <c r="W18" s="409">
        <f ca="1">IF(B18&lt;&gt;"",VLOOKUP(F18,species_tbl[],3,FALSE),"")</f>
        <v>0.47</v>
      </c>
      <c r="X18" s="409">
        <f ca="1">E18/(SUM(Models!$G$16:$G$16))</f>
        <v>0.5</v>
      </c>
      <c r="AG18" s="78">
        <f t="shared" si="13"/>
        <v>8</v>
      </c>
      <c r="AH18" s="78">
        <f>ROUNDDOWN((AG19)/Inventory_data!$AL$17,0)</f>
        <v>3</v>
      </c>
      <c r="AI18" s="78">
        <f>ROUNDDOWN((AG19)/Strata!$P$15,0)</f>
        <v>3</v>
      </c>
    </row>
    <row r="19" spans="2:35" x14ac:dyDescent="0.25">
      <c r="B19" s="350">
        <f ca="1">IF(ISERROR(Simulation_assumptions!$D$19),"",IF(ROW(D19)&gt;Inventory_data!$AL$17*Simulation_assumptions!$D$19+10,"",OFFSET(Simulation_assumptions!$K$7,AH19,0)))</f>
        <v>20</v>
      </c>
      <c r="C19" s="350">
        <f ca="1">IF(ISERROR(Simulation_assumptions!$D$19),"",IF(ROW(C19)&gt;Inventory_data!$AL$17*Simulation_assumptions!$D$19+10,"",OFFSET(Inventory_data!$C$19,ROW(C19)-10-Inventory_data!$AL$17*INT((ROW(C19)-11)/Inventory_data!$AL$17),0,1,1)))</f>
        <v>2015</v>
      </c>
      <c r="D19" s="350" t="str">
        <f ca="1">IF(ISERROR(Simulation_assumptions!$D$19),"",IF(ROW(D19)&gt;Inventory_data!$AL$17*Simulation_assumptions!$D$19+10,"",OFFSET(Inventory_data!$D$19,ROW(D19)-10-Inventory_data!$AL$17*INT((ROW(D19)-11)/Inventory_data!$AL$17),0,1,1)))</f>
        <v>Plantation forest</v>
      </c>
      <c r="E19" s="350">
        <f ca="1">IF(D19&lt;&gt;"",VLOOKUP(D19,strata_tbl[],2,FALSE),"")</f>
        <v>200</v>
      </c>
      <c r="F19" s="350" t="str">
        <f ca="1">IF(ISERROR(Simulation_assumptions!$D$19),"",IF(ROW(D19)&gt;Inventory_data!$AL$17*Simulation_assumptions!$D$19+10,"",OFFSET(Inventory_data!$D$19,ROW(F19)-10-Inventory_data!$AL$17*INT((ROW(F19)-11)/Inventory_data!$AL$17),1,1,1)))</f>
        <v>Aniba amazonica</v>
      </c>
      <c r="G19" s="350" t="str">
        <f t="array" aca="1" ref="G19" ca="1">IF(B19&lt;&gt;"",IFERROR(INDEX(models_tbl10[Rotation period],MATCH(Inventory_Simulation!D19&amp;Inventory_Simulation!F19,(models_tbl10[Stratum]&amp;models_tbl10[Species]),0)),""),"")</f>
        <v/>
      </c>
      <c r="H19" s="350">
        <f ca="1">IF(D19&lt;&gt;"",VLOOKUP(Inventory_Simulation!Q19,inventory_data_tbl[],7,FALSE),"")</f>
        <v>20</v>
      </c>
      <c r="I19" s="3">
        <f t="shared" ca="1" si="6"/>
        <v>40</v>
      </c>
      <c r="J19" s="33" t="str">
        <f ca="1">IF(D19&lt;&gt;"",IF(ISERROR(VLOOKUP(P19,All_Models!B:G,6,FALSE)),"",VLOOKUP(P19,All_Models!B:G,6,FALSE)),"")</f>
        <v/>
      </c>
      <c r="K19" s="408" t="e">
        <f t="shared" ca="1" si="7"/>
        <v>#VALUE!</v>
      </c>
      <c r="L19" s="408">
        <f ca="1">IF(D19&lt;&gt;"",(44/12)*Species!$I$18*Species!$I$21*'General Data'!$J$19*Species!$I$20,"")</f>
        <v>25.85</v>
      </c>
      <c r="M19" s="408" t="e">
        <f ca="1">IF(B19&lt;&gt;"",(VLOOKUP(D19,strata_tbl[],6,FALSE))*K19,"")</f>
        <v>#VALUE!</v>
      </c>
      <c r="N19" s="408" t="e">
        <f ca="1">IF(D19&lt;&gt;"",(VLOOKUP(D19,strata_tbl[],7,FALSE)*K19),"")</f>
        <v>#VALUE!</v>
      </c>
      <c r="O19" s="408">
        <f t="array" aca="1" ref="O19" ca="1">IF(D19&lt;&gt;"",SUM(IF(ISERROR(K19:N19),"",K19:N19)),"")</f>
        <v>25.85</v>
      </c>
      <c r="P19" s="221" t="str">
        <f t="shared" ca="1" si="8"/>
        <v>Plantation forest-Aniba amazonica-40</v>
      </c>
      <c r="Q19" s="221" t="str">
        <f t="shared" ca="1" si="9"/>
        <v>Plantation forest-Aniba amazonica</v>
      </c>
      <c r="R19" s="221" t="str">
        <f t="shared" ca="1" si="10"/>
        <v>Plantation forest-Aniba amazonica-20</v>
      </c>
      <c r="S19" s="409">
        <f ca="1">IF(B19&lt;&gt;"",VLOOKUP(F19,species_tbl[],4,FALSE),"")</f>
        <v>3.4</v>
      </c>
      <c r="T19" s="409">
        <f ca="1">IF(B19&lt;&gt;"",VLOOKUP(F19,species_tbl[],2,FALSE),"")</f>
        <v>0.56000000000000005</v>
      </c>
      <c r="U19" s="221" t="e">
        <f t="shared" ca="1" si="11"/>
        <v>#VALUE!</v>
      </c>
      <c r="V19" s="221" t="e">
        <f t="shared" ca="1" si="12"/>
        <v>#VALUE!</v>
      </c>
      <c r="W19" s="409">
        <f ca="1">IF(B19&lt;&gt;"",VLOOKUP(F19,species_tbl[],3,FALSE),"")</f>
        <v>0.47</v>
      </c>
      <c r="X19" s="409">
        <f ca="1">E19/(SUM(Models!$G$16:$G$16))</f>
        <v>1</v>
      </c>
      <c r="AG19" s="78">
        <f t="shared" si="13"/>
        <v>9</v>
      </c>
      <c r="AH19" s="78">
        <f>ROUNDDOWN((AG20)/Inventory_data!$AL$17,0)</f>
        <v>3</v>
      </c>
      <c r="AI19" s="78">
        <f>ROUNDDOWN((AG20)/Strata!$P$15,0)</f>
        <v>3</v>
      </c>
    </row>
    <row r="20" spans="2:35" x14ac:dyDescent="0.25">
      <c r="B20" s="350">
        <f ca="1">IF(ISERROR(Simulation_assumptions!$D$19),"",IF(ROW(D20)&gt;Inventory_data!$AL$17*Simulation_assumptions!$D$19+10,"",OFFSET(Simulation_assumptions!$K$7,AH20,0)))</f>
        <v>20</v>
      </c>
      <c r="C20" s="350">
        <f ca="1">IF(ISERROR(Simulation_assumptions!$D$19),"",IF(ROW(C20)&gt;Inventory_data!$AL$17*Simulation_assumptions!$D$19+10,"",OFFSET(Inventory_data!$C$19,ROW(C20)-10-Inventory_data!$AL$17*INT((ROW(C20)-11)/Inventory_data!$AL$17),0,1,1)))</f>
        <v>2015</v>
      </c>
      <c r="D20" s="350" t="str">
        <f ca="1">IF(ISERROR(Simulation_assumptions!$D$19),"",IF(ROW(D20)&gt;Inventory_data!$AL$17*Simulation_assumptions!$D$19+10,"",OFFSET(Inventory_data!$D$19,ROW(D20)-10-Inventory_data!$AL$17*INT((ROW(D20)-11)/Inventory_data!$AL$17),0,1,1)))</f>
        <v>Private forest</v>
      </c>
      <c r="E20" s="350">
        <f ca="1">IF(D20&lt;&gt;"",VLOOKUP(D20,strata_tbl[],2,FALSE),"")</f>
        <v>200</v>
      </c>
      <c r="F20" s="350" t="str">
        <f ca="1">IF(ISERROR(Simulation_assumptions!$D$19),"",IF(ROW(D20)&gt;Inventory_data!$AL$17*Simulation_assumptions!$D$19+10,"",OFFSET(Inventory_data!$D$19,ROW(F20)-10-Inventory_data!$AL$17*INT((ROW(F20)-11)/Inventory_data!$AL$17),1,1,1)))</f>
        <v>Andira retusa</v>
      </c>
      <c r="G20" s="350">
        <f t="array" aca="1" ref="G20" ca="1">IF(B20&lt;&gt;"",IFERROR(INDEX(models_tbl10[Rotation period],MATCH(Inventory_Simulation!D20&amp;Inventory_Simulation!F20,(models_tbl10[Stratum]&amp;models_tbl10[Species]),0)),""),"")</f>
        <v>10</v>
      </c>
      <c r="H20" s="350">
        <f ca="1">IF(D20&lt;&gt;"",VLOOKUP(Inventory_Simulation!Q20,inventory_data_tbl[],7,FALSE),"")</f>
        <v>5</v>
      </c>
      <c r="I20" s="3">
        <f t="shared" ca="1" si="6"/>
        <v>5</v>
      </c>
      <c r="J20" s="33">
        <f ca="1">IF(D20&lt;&gt;"",IF(ISERROR(VLOOKUP(P20,All_Models!B:G,6,FALSE)),"",VLOOKUP(P20,All_Models!B:G,6,FALSE)),"")</f>
        <v>30</v>
      </c>
      <c r="K20" s="408">
        <f t="shared" ca="1" si="7"/>
        <v>146.83523127090882</v>
      </c>
      <c r="L20" s="408">
        <f ca="1">IF(D20&lt;&gt;"",(44/12)*Species!$I$18*Species!$I$21*'General Data'!$J$19*Species!$I$20,"")</f>
        <v>25.85</v>
      </c>
      <c r="M20" s="408">
        <f ca="1">IF(B20&lt;&gt;"",(VLOOKUP(D20,strata_tbl[],6,FALSE))*K20,"")</f>
        <v>2.9367046254181766</v>
      </c>
      <c r="N20" s="408">
        <f ca="1">IF(D20&lt;&gt;"",(VLOOKUP(D20,strata_tbl[],7,FALSE)*K20),"")</f>
        <v>5.8734092508363531</v>
      </c>
      <c r="O20" s="408">
        <f t="array" aca="1" ref="O20" ca="1">IF(D20&lt;&gt;"",SUM(IF(ISERROR(K20:N20),"",K20:N20)),"")</f>
        <v>181.49534514716333</v>
      </c>
      <c r="P20" s="221" t="str">
        <f t="shared" ca="1" si="8"/>
        <v>Private forest-Andira retusa-5</v>
      </c>
      <c r="Q20" s="221" t="str">
        <f t="shared" ca="1" si="9"/>
        <v>Private forest-Andira retusa</v>
      </c>
      <c r="R20" s="221" t="str">
        <f t="shared" ca="1" si="10"/>
        <v>Private forest-Andira retusa-5</v>
      </c>
      <c r="S20" s="409">
        <f ca="1">IF(B20&lt;&gt;"",VLOOKUP(F20,species_tbl[],4,FALSE),"")</f>
        <v>3.4</v>
      </c>
      <c r="T20" s="409">
        <f ca="1">IF(B20&lt;&gt;"",VLOOKUP(F20,species_tbl[],2,FALSE),"")</f>
        <v>0.67</v>
      </c>
      <c r="U20" s="221">
        <f t="shared" ca="1" si="11"/>
        <v>68.34</v>
      </c>
      <c r="V20" s="221">
        <f t="shared" ca="1" si="12"/>
        <v>0.24676903856167587</v>
      </c>
      <c r="W20" s="409">
        <f ca="1">IF(B20&lt;&gt;"",VLOOKUP(F20,species_tbl[],3,FALSE),"")</f>
        <v>0.47</v>
      </c>
      <c r="X20" s="409">
        <f ca="1">E20/(SUM(Models!$G$16:$G$16))</f>
        <v>1</v>
      </c>
      <c r="AG20" s="78">
        <f t="shared" si="13"/>
        <v>10</v>
      </c>
      <c r="AH20" s="78">
        <f>ROUNDDOWN((AG21)/Inventory_data!$AL$17,0)</f>
        <v>3</v>
      </c>
      <c r="AI20" s="78">
        <f>ROUNDDOWN((AG21)/Strata!$P$15,0)</f>
        <v>3</v>
      </c>
    </row>
    <row r="21" spans="2:35" x14ac:dyDescent="0.25">
      <c r="B21" s="350">
        <f ca="1">IF(ISERROR(Simulation_assumptions!$D$19),"",IF(ROW(D21)&gt;Inventory_data!$AL$17*Simulation_assumptions!$D$19+10,"",OFFSET(Simulation_assumptions!$K$7,AH21,0)))</f>
        <v>25</v>
      </c>
      <c r="C21" s="350">
        <f ca="1">IF(ISERROR(Simulation_assumptions!$D$19),"",IF(ROW(C21)&gt;Inventory_data!$AL$17*Simulation_assumptions!$D$19+10,"",OFFSET(Inventory_data!$C$19,ROW(C21)-10-Inventory_data!$AL$17*INT((ROW(C21)-11)/Inventory_data!$AL$17),0,1,1)))</f>
        <v>2015</v>
      </c>
      <c r="D21" s="350" t="str">
        <f ca="1">IF(ISERROR(Simulation_assumptions!$D$19),"",IF(ROW(D21)&gt;Inventory_data!$AL$17*Simulation_assumptions!$D$19+10,"",OFFSET(Inventory_data!$D$19,ROW(D21)-10-Inventory_data!$AL$17*INT((ROW(D21)-11)/Inventory_data!$AL$17),0,1,1)))</f>
        <v>Industrial Forest</v>
      </c>
      <c r="E21" s="350">
        <f ca="1">IF(D21&lt;&gt;"",VLOOKUP(D21,strata_tbl[],2,FALSE),"")</f>
        <v>100</v>
      </c>
      <c r="F21" s="350" t="str">
        <f ca="1">IF(ISERROR(Simulation_assumptions!$D$19),"",IF(ROW(D21)&gt;Inventory_data!$AL$17*Simulation_assumptions!$D$19+10,"",OFFSET(Inventory_data!$D$19,ROW(F21)-10-Inventory_data!$AL$17*INT((ROW(F21)-11)/Inventory_data!$AL$17),1,1,1)))</f>
        <v>Andira parviflora</v>
      </c>
      <c r="G21" s="350" t="str">
        <f t="array" aca="1" ref="G21" ca="1">IF(B21&lt;&gt;"",IFERROR(INDEX(models_tbl10[Rotation period],MATCH(Inventory_Simulation!D21&amp;Inventory_Simulation!F21,(models_tbl10[Stratum]&amp;models_tbl10[Species]),0)),""),"")</f>
        <v/>
      </c>
      <c r="H21" s="350">
        <f ca="1">IF(D21&lt;&gt;"",VLOOKUP(Inventory_Simulation!Q21,inventory_data_tbl[],7,FALSE),"")</f>
        <v>8</v>
      </c>
      <c r="I21" s="3">
        <f t="shared" ca="1" si="6"/>
        <v>33</v>
      </c>
      <c r="J21" s="33" t="str">
        <f ca="1">IF(D21&lt;&gt;"",IF(ISERROR(VLOOKUP(P21,All_Models!B:G,6,FALSE)),"",VLOOKUP(P21,All_Models!B:G,6,FALSE)),"")</f>
        <v/>
      </c>
      <c r="K21" s="408" t="e">
        <f t="shared" ca="1" si="7"/>
        <v>#VALUE!</v>
      </c>
      <c r="L21" s="408">
        <f ca="1">IF(D21&lt;&gt;"",(44/12)*Species!$I$18*Species!$I$21*'General Data'!$J$19*Species!$I$20,"")</f>
        <v>25.85</v>
      </c>
      <c r="M21" s="408" t="e">
        <f ca="1">IF(B21&lt;&gt;"",(VLOOKUP(D21,strata_tbl[],6,FALSE))*K21,"")</f>
        <v>#VALUE!</v>
      </c>
      <c r="N21" s="408" t="e">
        <f ca="1">IF(D21&lt;&gt;"",(VLOOKUP(D21,strata_tbl[],7,FALSE)*K21),"")</f>
        <v>#VALUE!</v>
      </c>
      <c r="O21" s="408">
        <f t="array" aca="1" ref="O21" ca="1">IF(D21&lt;&gt;"",SUM(IF(ISERROR(K21:N21),"",K21:N21)),"")</f>
        <v>25.85</v>
      </c>
      <c r="P21" s="221" t="str">
        <f t="shared" ca="1" si="8"/>
        <v>Industrial Forest-Andira parviflora-33</v>
      </c>
      <c r="Q21" s="221" t="str">
        <f t="shared" ca="1" si="9"/>
        <v>Industrial Forest-Andira parviflora</v>
      </c>
      <c r="R21" s="221" t="str">
        <f t="shared" ca="1" si="10"/>
        <v>Industrial Forest-Andira parviflora-8</v>
      </c>
      <c r="S21" s="409">
        <f ca="1">IF(B21&lt;&gt;"",VLOOKUP(F21,species_tbl[],4,FALSE),"")</f>
        <v>3.4</v>
      </c>
      <c r="T21" s="409">
        <f ca="1">IF(B21&lt;&gt;"",VLOOKUP(F21,species_tbl[],2,FALSE),"")</f>
        <v>0.69</v>
      </c>
      <c r="U21" s="221" t="e">
        <f t="shared" ca="1" si="11"/>
        <v>#VALUE!</v>
      </c>
      <c r="V21" s="221" t="e">
        <f t="shared" ca="1" si="12"/>
        <v>#VALUE!</v>
      </c>
      <c r="W21" s="409">
        <f ca="1">IF(B21&lt;&gt;"",VLOOKUP(F21,species_tbl[],3,FALSE),"")</f>
        <v>0.47</v>
      </c>
      <c r="X21" s="409">
        <f ca="1">E21/(SUM(Models!$G$16:$G$16))</f>
        <v>0.5</v>
      </c>
      <c r="AG21" s="78">
        <f t="shared" si="13"/>
        <v>11</v>
      </c>
      <c r="AH21" s="78">
        <f>ROUNDDOWN((AG22)/Inventory_data!$AL$17,0)</f>
        <v>4</v>
      </c>
      <c r="AI21" s="78">
        <f>ROUNDDOWN((AG22)/Strata!$P$15,0)</f>
        <v>4</v>
      </c>
    </row>
    <row r="22" spans="2:35" x14ac:dyDescent="0.25">
      <c r="B22" s="350">
        <f ca="1">IF(ISERROR(Simulation_assumptions!$D$19),"",IF(ROW(D22)&gt;Inventory_data!$AL$17*Simulation_assumptions!$D$19+10,"",OFFSET(Simulation_assumptions!$K$7,AH22,0)))</f>
        <v>25</v>
      </c>
      <c r="C22" s="350">
        <f ca="1">IF(ISERROR(Simulation_assumptions!$D$19),"",IF(ROW(C22)&gt;Inventory_data!$AL$17*Simulation_assumptions!$D$19+10,"",OFFSET(Inventory_data!$C$19,ROW(C22)-10-Inventory_data!$AL$17*INT((ROW(C22)-11)/Inventory_data!$AL$17),0,1,1)))</f>
        <v>2015</v>
      </c>
      <c r="D22" s="350" t="str">
        <f ca="1">IF(ISERROR(Simulation_assumptions!$D$19),"",IF(ROW(D22)&gt;Inventory_data!$AL$17*Simulation_assumptions!$D$19+10,"",OFFSET(Inventory_data!$D$19,ROW(D22)-10-Inventory_data!$AL$17*INT((ROW(D22)-11)/Inventory_data!$AL$17),0,1,1)))</f>
        <v>Plantation forest</v>
      </c>
      <c r="E22" s="350">
        <f ca="1">IF(D22&lt;&gt;"",VLOOKUP(D22,strata_tbl[],2,FALSE),"")</f>
        <v>200</v>
      </c>
      <c r="F22" s="350" t="str">
        <f ca="1">IF(ISERROR(Simulation_assumptions!$D$19),"",IF(ROW(D22)&gt;Inventory_data!$AL$17*Simulation_assumptions!$D$19+10,"",OFFSET(Inventory_data!$D$19,ROW(F22)-10-Inventory_data!$AL$17*INT((ROW(F22)-11)/Inventory_data!$AL$17),1,1,1)))</f>
        <v>Aniba amazonica</v>
      </c>
      <c r="G22" s="350" t="str">
        <f t="array" aca="1" ref="G22" ca="1">IF(B22&lt;&gt;"",IFERROR(INDEX(models_tbl10[Rotation period],MATCH(Inventory_Simulation!D22&amp;Inventory_Simulation!F22,(models_tbl10[Stratum]&amp;models_tbl10[Species]),0)),""),"")</f>
        <v/>
      </c>
      <c r="H22" s="350">
        <f ca="1">IF(D22&lt;&gt;"",VLOOKUP(Inventory_Simulation!Q22,inventory_data_tbl[],7,FALSE),"")</f>
        <v>20</v>
      </c>
      <c r="I22" s="3">
        <f t="shared" ca="1" si="6"/>
        <v>45</v>
      </c>
      <c r="J22" s="33" t="str">
        <f ca="1">IF(D22&lt;&gt;"",IF(ISERROR(VLOOKUP(P22,All_Models!B:G,6,FALSE)),"",VLOOKUP(P22,All_Models!B:G,6,FALSE)),"")</f>
        <v/>
      </c>
      <c r="K22" s="408" t="e">
        <f t="shared" ca="1" si="7"/>
        <v>#VALUE!</v>
      </c>
      <c r="L22" s="408">
        <f ca="1">IF(D22&lt;&gt;"",(44/12)*Species!$I$18*Species!$I$21*'General Data'!$J$19*Species!$I$20,"")</f>
        <v>25.85</v>
      </c>
      <c r="M22" s="408" t="e">
        <f ca="1">IF(B22&lt;&gt;"",(VLOOKUP(D22,strata_tbl[],6,FALSE))*K22,"")</f>
        <v>#VALUE!</v>
      </c>
      <c r="N22" s="408" t="e">
        <f ca="1">IF(D22&lt;&gt;"",(VLOOKUP(D22,strata_tbl[],7,FALSE)*K22),"")</f>
        <v>#VALUE!</v>
      </c>
      <c r="O22" s="408">
        <f t="array" aca="1" ref="O22" ca="1">IF(D22&lt;&gt;"",SUM(IF(ISERROR(K22:N22),"",K22:N22)),"")</f>
        <v>25.85</v>
      </c>
      <c r="P22" s="221" t="str">
        <f t="shared" ca="1" si="8"/>
        <v>Plantation forest-Aniba amazonica-45</v>
      </c>
      <c r="Q22" s="221" t="str">
        <f t="shared" ca="1" si="9"/>
        <v>Plantation forest-Aniba amazonica</v>
      </c>
      <c r="R22" s="221" t="str">
        <f t="shared" ca="1" si="10"/>
        <v>Plantation forest-Aniba amazonica-20</v>
      </c>
      <c r="S22" s="409">
        <f ca="1">IF(B22&lt;&gt;"",VLOOKUP(F22,species_tbl[],4,FALSE),"")</f>
        <v>3.4</v>
      </c>
      <c r="T22" s="409">
        <f ca="1">IF(B22&lt;&gt;"",VLOOKUP(F22,species_tbl[],2,FALSE),"")</f>
        <v>0.56000000000000005</v>
      </c>
      <c r="U22" s="221" t="e">
        <f t="shared" ca="1" si="11"/>
        <v>#VALUE!</v>
      </c>
      <c r="V22" s="221" t="e">
        <f t="shared" ca="1" si="12"/>
        <v>#VALUE!</v>
      </c>
      <c r="W22" s="409">
        <f ca="1">IF(B22&lt;&gt;"",VLOOKUP(F22,species_tbl[],3,FALSE),"")</f>
        <v>0.47</v>
      </c>
      <c r="X22" s="409">
        <f ca="1">E22/(SUM(Models!$G$16:$G$16))</f>
        <v>1</v>
      </c>
      <c r="AG22" s="78">
        <f t="shared" si="13"/>
        <v>12</v>
      </c>
      <c r="AH22" s="78">
        <f>ROUNDDOWN((AG23)/Inventory_data!$AL$17,0)</f>
        <v>4</v>
      </c>
      <c r="AI22" s="78">
        <f>ROUNDDOWN((AG23)/Strata!$P$15,0)</f>
        <v>4</v>
      </c>
    </row>
    <row r="23" spans="2:35" x14ac:dyDescent="0.25">
      <c r="B23" s="350">
        <f ca="1">IF(ISERROR(Simulation_assumptions!$D$19),"",IF(ROW(D23)&gt;Inventory_data!$AL$17*Simulation_assumptions!$D$19+10,"",OFFSET(Simulation_assumptions!$K$7,AH23,0)))</f>
        <v>25</v>
      </c>
      <c r="C23" s="350">
        <f ca="1">IF(ISERROR(Simulation_assumptions!$D$19),"",IF(ROW(C23)&gt;Inventory_data!$AL$17*Simulation_assumptions!$D$19+10,"",OFFSET(Inventory_data!$C$19,ROW(C23)-10-Inventory_data!$AL$17*INT((ROW(C23)-11)/Inventory_data!$AL$17),0,1,1)))</f>
        <v>2015</v>
      </c>
      <c r="D23" s="350" t="str">
        <f ca="1">IF(ISERROR(Simulation_assumptions!$D$19),"",IF(ROW(D23)&gt;Inventory_data!$AL$17*Simulation_assumptions!$D$19+10,"",OFFSET(Inventory_data!$D$19,ROW(D23)-10-Inventory_data!$AL$17*INT((ROW(D23)-11)/Inventory_data!$AL$17),0,1,1)))</f>
        <v>Private forest</v>
      </c>
      <c r="E23" s="350">
        <f ca="1">IF(D23&lt;&gt;"",VLOOKUP(D23,strata_tbl[],2,FALSE),"")</f>
        <v>200</v>
      </c>
      <c r="F23" s="350" t="str">
        <f ca="1">IF(ISERROR(Simulation_assumptions!$D$19),"",IF(ROW(D23)&gt;Inventory_data!$AL$17*Simulation_assumptions!$D$19+10,"",OFFSET(Inventory_data!$D$19,ROW(F23)-10-Inventory_data!$AL$17*INT((ROW(F23)-11)/Inventory_data!$AL$17),1,1,1)))</f>
        <v>Andira retusa</v>
      </c>
      <c r="G23" s="350">
        <f t="array" aca="1" ref="G23" ca="1">IF(B23&lt;&gt;"",IFERROR(INDEX(models_tbl10[Rotation period],MATCH(Inventory_Simulation!D23&amp;Inventory_Simulation!F23,(models_tbl10[Stratum]&amp;models_tbl10[Species]),0)),""),"")</f>
        <v>10</v>
      </c>
      <c r="H23" s="350">
        <f ca="1">IF(D23&lt;&gt;"",VLOOKUP(Inventory_Simulation!Q23,inventory_data_tbl[],7,FALSE),"")</f>
        <v>5</v>
      </c>
      <c r="I23" s="3">
        <f t="shared" ca="1" si="6"/>
        <v>0</v>
      </c>
      <c r="J23" s="33" t="str">
        <f ca="1">IF(D23&lt;&gt;"",IF(ISERROR(VLOOKUP(P23,All_Models!B:G,6,FALSE)),"",VLOOKUP(P23,All_Models!B:G,6,FALSE)),"")</f>
        <v/>
      </c>
      <c r="K23" s="408" t="e">
        <f t="shared" ca="1" si="7"/>
        <v>#VALUE!</v>
      </c>
      <c r="L23" s="408">
        <f ca="1">IF(D23&lt;&gt;"",(44/12)*Species!$I$18*Species!$I$21*'General Data'!$J$19*Species!$I$20,"")</f>
        <v>25.85</v>
      </c>
      <c r="M23" s="408" t="e">
        <f ca="1">IF(B23&lt;&gt;"",(VLOOKUP(D23,strata_tbl[],6,FALSE))*K23,"")</f>
        <v>#VALUE!</v>
      </c>
      <c r="N23" s="408" t="e">
        <f ca="1">IF(D23&lt;&gt;"",(VLOOKUP(D23,strata_tbl[],7,FALSE)*K23),"")</f>
        <v>#VALUE!</v>
      </c>
      <c r="O23" s="408">
        <f t="array" aca="1" ref="O23" ca="1">IF(D23&lt;&gt;"",SUM(IF(ISERROR(K23:N23),"",K23:N23)),"")</f>
        <v>25.85</v>
      </c>
      <c r="P23" s="221" t="str">
        <f t="shared" ca="1" si="8"/>
        <v>Private forest-Andira retusa-0</v>
      </c>
      <c r="Q23" s="221" t="str">
        <f t="shared" ca="1" si="9"/>
        <v>Private forest-Andira retusa</v>
      </c>
      <c r="R23" s="221" t="str">
        <f t="shared" ca="1" si="10"/>
        <v>Private forest-Andira retusa-5</v>
      </c>
      <c r="S23" s="409">
        <f ca="1">IF(B23&lt;&gt;"",VLOOKUP(F23,species_tbl[],4,FALSE),"")</f>
        <v>3.4</v>
      </c>
      <c r="T23" s="409">
        <f ca="1">IF(B23&lt;&gt;"",VLOOKUP(F23,species_tbl[],2,FALSE),"")</f>
        <v>0.67</v>
      </c>
      <c r="U23" s="221" t="e">
        <f t="shared" ca="1" si="11"/>
        <v>#VALUE!</v>
      </c>
      <c r="V23" s="221" t="e">
        <f t="shared" ca="1" si="12"/>
        <v>#VALUE!</v>
      </c>
      <c r="W23" s="409">
        <f ca="1">IF(B23&lt;&gt;"",VLOOKUP(F23,species_tbl[],3,FALSE),"")</f>
        <v>0.47</v>
      </c>
      <c r="X23" s="409">
        <f ca="1">E23/(SUM(Models!$G$16:$G$16))</f>
        <v>1</v>
      </c>
      <c r="AG23" s="78">
        <f t="shared" si="13"/>
        <v>13</v>
      </c>
      <c r="AH23" s="78">
        <f>ROUNDDOWN((AG24)/Inventory_data!$AL$17,0)</f>
        <v>4</v>
      </c>
      <c r="AI23" s="78">
        <f>ROUNDDOWN((AG24)/Strata!$P$15,0)</f>
        <v>4</v>
      </c>
    </row>
    <row r="24" spans="2:35" x14ac:dyDescent="0.25">
      <c r="B24" s="350">
        <f ca="1">IF(ISERROR(Simulation_assumptions!$D$19),"",IF(ROW(D24)&gt;Inventory_data!$AL$17*Simulation_assumptions!$D$19+10,"",OFFSET(Simulation_assumptions!$K$7,AH24,0)))</f>
        <v>30</v>
      </c>
      <c r="C24" s="350">
        <f ca="1">IF(ISERROR(Simulation_assumptions!$D$19),"",IF(ROW(C24)&gt;Inventory_data!$AL$17*Simulation_assumptions!$D$19+10,"",OFFSET(Inventory_data!$C$19,ROW(C24)-10-Inventory_data!$AL$17*INT((ROW(C24)-11)/Inventory_data!$AL$17),0,1,1)))</f>
        <v>2015</v>
      </c>
      <c r="D24" s="350" t="str">
        <f ca="1">IF(ISERROR(Simulation_assumptions!$D$19),"",IF(ROW(D24)&gt;Inventory_data!$AL$17*Simulation_assumptions!$D$19+10,"",OFFSET(Inventory_data!$D$19,ROW(D24)-10-Inventory_data!$AL$17*INT((ROW(D24)-11)/Inventory_data!$AL$17),0,1,1)))</f>
        <v>Industrial Forest</v>
      </c>
      <c r="E24" s="350">
        <f ca="1">IF(D24&lt;&gt;"",VLOOKUP(D24,strata_tbl[],2,FALSE),"")</f>
        <v>100</v>
      </c>
      <c r="F24" s="350" t="str">
        <f ca="1">IF(ISERROR(Simulation_assumptions!$D$19),"",IF(ROW(D24)&gt;Inventory_data!$AL$17*Simulation_assumptions!$D$19+10,"",OFFSET(Inventory_data!$D$19,ROW(F24)-10-Inventory_data!$AL$17*INT((ROW(F24)-11)/Inventory_data!$AL$17),1,1,1)))</f>
        <v>Andira parviflora</v>
      </c>
      <c r="G24" s="350" t="str">
        <f t="array" aca="1" ref="G24" ca="1">IF(B24&lt;&gt;"",IFERROR(INDEX(models_tbl10[Rotation period],MATCH(Inventory_Simulation!D24&amp;Inventory_Simulation!F24,(models_tbl10[Stratum]&amp;models_tbl10[Species]),0)),""),"")</f>
        <v/>
      </c>
      <c r="H24" s="350">
        <f ca="1">IF(D24&lt;&gt;"",VLOOKUP(Inventory_Simulation!Q24,inventory_data_tbl[],7,FALSE),"")</f>
        <v>8</v>
      </c>
      <c r="I24" s="3">
        <f t="shared" ca="1" si="6"/>
        <v>38</v>
      </c>
      <c r="J24" s="33" t="str">
        <f ca="1">IF(D24&lt;&gt;"",IF(ISERROR(VLOOKUP(P24,All_Models!B:G,6,FALSE)),"",VLOOKUP(P24,All_Models!B:G,6,FALSE)),"")</f>
        <v/>
      </c>
      <c r="K24" s="408" t="e">
        <f t="shared" ca="1" si="7"/>
        <v>#VALUE!</v>
      </c>
      <c r="L24" s="408">
        <f ca="1">IF(D24&lt;&gt;"",(44/12)*Species!$I$18*Species!$I$21*'General Data'!$J$19*Species!$I$20,"")</f>
        <v>25.85</v>
      </c>
      <c r="M24" s="408" t="e">
        <f ca="1">IF(B24&lt;&gt;"",(VLOOKUP(D24,strata_tbl[],6,FALSE))*K24,"")</f>
        <v>#VALUE!</v>
      </c>
      <c r="N24" s="408" t="e">
        <f ca="1">IF(D24&lt;&gt;"",(VLOOKUP(D24,strata_tbl[],7,FALSE)*K24),"")</f>
        <v>#VALUE!</v>
      </c>
      <c r="O24" s="408">
        <f t="array" aca="1" ref="O24" ca="1">IF(D24&lt;&gt;"",SUM(IF(ISERROR(K24:N24),"",K24:N24)),"")</f>
        <v>25.85</v>
      </c>
      <c r="P24" s="221" t="str">
        <f t="shared" ca="1" si="8"/>
        <v>Industrial Forest-Andira parviflora-38</v>
      </c>
      <c r="Q24" s="221" t="str">
        <f t="shared" ca="1" si="9"/>
        <v>Industrial Forest-Andira parviflora</v>
      </c>
      <c r="R24" s="221" t="str">
        <f t="shared" ca="1" si="10"/>
        <v>Industrial Forest-Andira parviflora-8</v>
      </c>
      <c r="S24" s="409">
        <f ca="1">IF(B24&lt;&gt;"",VLOOKUP(F24,species_tbl[],4,FALSE),"")</f>
        <v>3.4</v>
      </c>
      <c r="T24" s="409">
        <f ca="1">IF(B24&lt;&gt;"",VLOOKUP(F24,species_tbl[],2,FALSE),"")</f>
        <v>0.69</v>
      </c>
      <c r="U24" s="221" t="e">
        <f t="shared" ca="1" si="11"/>
        <v>#VALUE!</v>
      </c>
      <c r="V24" s="221" t="e">
        <f t="shared" ca="1" si="12"/>
        <v>#VALUE!</v>
      </c>
      <c r="W24" s="409">
        <f ca="1">IF(B24&lt;&gt;"",VLOOKUP(F24,species_tbl[],3,FALSE),"")</f>
        <v>0.47</v>
      </c>
      <c r="X24" s="409">
        <f ca="1">E24/(SUM(Models!$G$16:$G$16))</f>
        <v>0.5</v>
      </c>
      <c r="AG24" s="78">
        <f t="shared" si="13"/>
        <v>14</v>
      </c>
      <c r="AH24" s="78">
        <f>ROUNDDOWN((AG25)/Inventory_data!$AL$17,0)</f>
        <v>5</v>
      </c>
      <c r="AI24" s="78">
        <f>ROUNDDOWN((AG25)/Strata!$P$15,0)</f>
        <v>5</v>
      </c>
    </row>
    <row r="25" spans="2:35" x14ac:dyDescent="0.25">
      <c r="B25" s="350">
        <f ca="1">IF(ISERROR(Simulation_assumptions!$D$19),"",IF(ROW(D25)&gt;Inventory_data!$AL$17*Simulation_assumptions!$D$19+10,"",OFFSET(Simulation_assumptions!$K$7,AH25,0)))</f>
        <v>30</v>
      </c>
      <c r="C25" s="350">
        <f ca="1">IF(ISERROR(Simulation_assumptions!$D$19),"",IF(ROW(C25)&gt;Inventory_data!$AL$17*Simulation_assumptions!$D$19+10,"",OFFSET(Inventory_data!$C$19,ROW(C25)-10-Inventory_data!$AL$17*INT((ROW(C25)-11)/Inventory_data!$AL$17),0,1,1)))</f>
        <v>2015</v>
      </c>
      <c r="D25" s="350" t="str">
        <f ca="1">IF(ISERROR(Simulation_assumptions!$D$19),"",IF(ROW(D25)&gt;Inventory_data!$AL$17*Simulation_assumptions!$D$19+10,"",OFFSET(Inventory_data!$D$19,ROW(D25)-10-Inventory_data!$AL$17*INT((ROW(D25)-11)/Inventory_data!$AL$17),0,1,1)))</f>
        <v>Plantation forest</v>
      </c>
      <c r="E25" s="350">
        <f ca="1">IF(D25&lt;&gt;"",VLOOKUP(D25,strata_tbl[],2,FALSE),"")</f>
        <v>200</v>
      </c>
      <c r="F25" s="350" t="str">
        <f ca="1">IF(ISERROR(Simulation_assumptions!$D$19),"",IF(ROW(D25)&gt;Inventory_data!$AL$17*Simulation_assumptions!$D$19+10,"",OFFSET(Inventory_data!$D$19,ROW(F25)-10-Inventory_data!$AL$17*INT((ROW(F25)-11)/Inventory_data!$AL$17),1,1,1)))</f>
        <v>Aniba amazonica</v>
      </c>
      <c r="G25" s="350" t="str">
        <f t="array" aca="1" ref="G25" ca="1">IF(B25&lt;&gt;"",IFERROR(INDEX(models_tbl10[Rotation period],MATCH(Inventory_Simulation!D25&amp;Inventory_Simulation!F25,(models_tbl10[Stratum]&amp;models_tbl10[Species]),0)),""),"")</f>
        <v/>
      </c>
      <c r="H25" s="350">
        <f ca="1">IF(D25&lt;&gt;"",VLOOKUP(Inventory_Simulation!Q25,inventory_data_tbl[],7,FALSE),"")</f>
        <v>20</v>
      </c>
      <c r="I25" s="3">
        <f t="shared" ca="1" si="6"/>
        <v>50</v>
      </c>
      <c r="J25" s="33" t="str">
        <f ca="1">IF(D25&lt;&gt;"",IF(ISERROR(VLOOKUP(P25,All_Models!B:G,6,FALSE)),"",VLOOKUP(P25,All_Models!B:G,6,FALSE)),"")</f>
        <v/>
      </c>
      <c r="K25" s="408" t="e">
        <f t="shared" ca="1" si="7"/>
        <v>#VALUE!</v>
      </c>
      <c r="L25" s="408">
        <f ca="1">IF(D25&lt;&gt;"",(44/12)*Species!$I$18*Species!$I$21*'General Data'!$J$19*Species!$I$20,"")</f>
        <v>25.85</v>
      </c>
      <c r="M25" s="408" t="e">
        <f ca="1">IF(B25&lt;&gt;"",(VLOOKUP(D25,strata_tbl[],6,FALSE))*K25,"")</f>
        <v>#VALUE!</v>
      </c>
      <c r="N25" s="408" t="e">
        <f ca="1">IF(D25&lt;&gt;"",(VLOOKUP(D25,strata_tbl[],7,FALSE)*K25),"")</f>
        <v>#VALUE!</v>
      </c>
      <c r="O25" s="408">
        <f t="array" aca="1" ref="O25" ca="1">IF(D25&lt;&gt;"",SUM(IF(ISERROR(K25:N25),"",K25:N25)),"")</f>
        <v>25.85</v>
      </c>
      <c r="P25" s="221" t="str">
        <f t="shared" ca="1" si="8"/>
        <v>Plantation forest-Aniba amazonica-50</v>
      </c>
      <c r="Q25" s="221" t="str">
        <f t="shared" ca="1" si="9"/>
        <v>Plantation forest-Aniba amazonica</v>
      </c>
      <c r="R25" s="221" t="str">
        <f t="shared" ca="1" si="10"/>
        <v>Plantation forest-Aniba amazonica-20</v>
      </c>
      <c r="S25" s="409">
        <f ca="1">IF(B25&lt;&gt;"",VLOOKUP(F25,species_tbl[],4,FALSE),"")</f>
        <v>3.4</v>
      </c>
      <c r="T25" s="409">
        <f ca="1">IF(B25&lt;&gt;"",VLOOKUP(F25,species_tbl[],2,FALSE),"")</f>
        <v>0.56000000000000005</v>
      </c>
      <c r="U25" s="221" t="e">
        <f t="shared" ca="1" si="11"/>
        <v>#VALUE!</v>
      </c>
      <c r="V25" s="221" t="e">
        <f t="shared" ca="1" si="12"/>
        <v>#VALUE!</v>
      </c>
      <c r="W25" s="409">
        <f ca="1">IF(B25&lt;&gt;"",VLOOKUP(F25,species_tbl[],3,FALSE),"")</f>
        <v>0.47</v>
      </c>
      <c r="X25" s="409">
        <f ca="1">E25/(SUM(Models!$G$16:$G$16))</f>
        <v>1</v>
      </c>
      <c r="AG25" s="78">
        <f t="shared" si="13"/>
        <v>15</v>
      </c>
      <c r="AH25" s="78">
        <f>ROUNDDOWN((AG26)/Inventory_data!$AL$17,0)</f>
        <v>5</v>
      </c>
      <c r="AI25" s="78">
        <f>ROUNDDOWN((AG26)/Strata!$P$15,0)</f>
        <v>5</v>
      </c>
    </row>
    <row r="26" spans="2:35" x14ac:dyDescent="0.25">
      <c r="B26" s="350">
        <f ca="1">IF(ISERROR(Simulation_assumptions!$D$19),"",IF(ROW(D26)&gt;Inventory_data!$AL$17*Simulation_assumptions!$D$19+10,"",OFFSET(Simulation_assumptions!$K$7,AH26,0)))</f>
        <v>30</v>
      </c>
      <c r="C26" s="350">
        <f ca="1">IF(ISERROR(Simulation_assumptions!$D$19),"",IF(ROW(C26)&gt;Inventory_data!$AL$17*Simulation_assumptions!$D$19+10,"",OFFSET(Inventory_data!$C$19,ROW(C26)-10-Inventory_data!$AL$17*INT((ROW(C26)-11)/Inventory_data!$AL$17),0,1,1)))</f>
        <v>2015</v>
      </c>
      <c r="D26" s="350" t="str">
        <f ca="1">IF(ISERROR(Simulation_assumptions!$D$19),"",IF(ROW(D26)&gt;Inventory_data!$AL$17*Simulation_assumptions!$D$19+10,"",OFFSET(Inventory_data!$D$19,ROW(D26)-10-Inventory_data!$AL$17*INT((ROW(D26)-11)/Inventory_data!$AL$17),0,1,1)))</f>
        <v>Private forest</v>
      </c>
      <c r="E26" s="350">
        <f ca="1">IF(D26&lt;&gt;"",VLOOKUP(D26,strata_tbl[],2,FALSE),"")</f>
        <v>200</v>
      </c>
      <c r="F26" s="350" t="str">
        <f ca="1">IF(ISERROR(Simulation_assumptions!$D$19),"",IF(ROW(D26)&gt;Inventory_data!$AL$17*Simulation_assumptions!$D$19+10,"",OFFSET(Inventory_data!$D$19,ROW(F26)-10-Inventory_data!$AL$17*INT((ROW(F26)-11)/Inventory_data!$AL$17),1,1,1)))</f>
        <v>Andira retusa</v>
      </c>
      <c r="G26" s="350">
        <f t="array" aca="1" ref="G26" ca="1">IF(B26&lt;&gt;"",IFERROR(INDEX(models_tbl10[Rotation period],MATCH(Inventory_Simulation!D26&amp;Inventory_Simulation!F26,(models_tbl10[Stratum]&amp;models_tbl10[Species]),0)),""),"")</f>
        <v>10</v>
      </c>
      <c r="H26" s="350">
        <f ca="1">IF(D26&lt;&gt;"",VLOOKUP(Inventory_Simulation!Q26,inventory_data_tbl[],7,FALSE),"")</f>
        <v>5</v>
      </c>
      <c r="I26" s="3">
        <f t="shared" ca="1" si="6"/>
        <v>5</v>
      </c>
      <c r="J26" s="33">
        <f ca="1">IF(D26&lt;&gt;"",IF(ISERROR(VLOOKUP(P26,All_Models!B:G,6,FALSE)),"",VLOOKUP(P26,All_Models!B:G,6,FALSE)),"")</f>
        <v>30</v>
      </c>
      <c r="K26" s="408">
        <f t="shared" ca="1" si="7"/>
        <v>146.83523127090882</v>
      </c>
      <c r="L26" s="408">
        <f ca="1">IF(D26&lt;&gt;"",(44/12)*Species!$I$18*Species!$I$21*'General Data'!$J$19*Species!$I$20,"")</f>
        <v>25.85</v>
      </c>
      <c r="M26" s="408">
        <f ca="1">IF(B26&lt;&gt;"",(VLOOKUP(D26,strata_tbl[],6,FALSE))*K26,"")</f>
        <v>2.9367046254181766</v>
      </c>
      <c r="N26" s="408">
        <f ca="1">IF(D26&lt;&gt;"",(VLOOKUP(D26,strata_tbl[],7,FALSE)*K26),"")</f>
        <v>5.8734092508363531</v>
      </c>
      <c r="O26" s="408">
        <f t="array" aca="1" ref="O26" ca="1">IF(D26&lt;&gt;"",SUM(IF(ISERROR(K26:N26),"",K26:N26)),"")</f>
        <v>181.49534514716333</v>
      </c>
      <c r="P26" s="221" t="str">
        <f t="shared" ca="1" si="8"/>
        <v>Private forest-Andira retusa-5</v>
      </c>
      <c r="Q26" s="221" t="str">
        <f t="shared" ca="1" si="9"/>
        <v>Private forest-Andira retusa</v>
      </c>
      <c r="R26" s="221" t="str">
        <f t="shared" ca="1" si="10"/>
        <v>Private forest-Andira retusa-5</v>
      </c>
      <c r="S26" s="409">
        <f ca="1">IF(B26&lt;&gt;"",VLOOKUP(F26,species_tbl[],4,FALSE),"")</f>
        <v>3.4</v>
      </c>
      <c r="T26" s="409">
        <f ca="1">IF(B26&lt;&gt;"",VLOOKUP(F26,species_tbl[],2,FALSE),"")</f>
        <v>0.67</v>
      </c>
      <c r="U26" s="221">
        <f t="shared" ca="1" si="11"/>
        <v>68.34</v>
      </c>
      <c r="V26" s="221">
        <f t="shared" ca="1" si="12"/>
        <v>0.24676903856167587</v>
      </c>
      <c r="W26" s="409">
        <f ca="1">IF(B26&lt;&gt;"",VLOOKUP(F26,species_tbl[],3,FALSE),"")</f>
        <v>0.47</v>
      </c>
      <c r="X26" s="409">
        <f ca="1">E26/(SUM(Models!$G$16:$G$16))</f>
        <v>1</v>
      </c>
      <c r="AG26" s="78">
        <f t="shared" si="13"/>
        <v>16</v>
      </c>
      <c r="AH26" s="78">
        <f>ROUNDDOWN((AG27)/Inventory_data!$AL$17,0)</f>
        <v>5</v>
      </c>
      <c r="AI26" s="78">
        <f>ROUNDDOWN((AG27)/Strata!$P$15,0)</f>
        <v>5</v>
      </c>
    </row>
    <row r="27" spans="2:35" x14ac:dyDescent="0.25">
      <c r="B27" s="350">
        <f ca="1">IF(ISERROR(Simulation_assumptions!$D$19),"",IF(ROW(D27)&gt;Inventory_data!$AL$17*Simulation_assumptions!$D$19+10,"",OFFSET(Simulation_assumptions!$K$7,AH27,0)))</f>
        <v>35</v>
      </c>
      <c r="C27" s="350">
        <f ca="1">IF(ISERROR(Simulation_assumptions!$D$19),"",IF(ROW(C27)&gt;Inventory_data!$AL$17*Simulation_assumptions!$D$19+10,"",OFFSET(Inventory_data!$C$19,ROW(C27)-10-Inventory_data!$AL$17*INT((ROW(C27)-11)/Inventory_data!$AL$17),0,1,1)))</f>
        <v>2015</v>
      </c>
      <c r="D27" s="350" t="str">
        <f ca="1">IF(ISERROR(Simulation_assumptions!$D$19),"",IF(ROW(D27)&gt;Inventory_data!$AL$17*Simulation_assumptions!$D$19+10,"",OFFSET(Inventory_data!$D$19,ROW(D27)-10-Inventory_data!$AL$17*INT((ROW(D27)-11)/Inventory_data!$AL$17),0,1,1)))</f>
        <v>Industrial Forest</v>
      </c>
      <c r="E27" s="350">
        <f ca="1">IF(D27&lt;&gt;"",VLOOKUP(D27,strata_tbl[],2,FALSE),"")</f>
        <v>100</v>
      </c>
      <c r="F27" s="350" t="str">
        <f ca="1">IF(ISERROR(Simulation_assumptions!$D$19),"",IF(ROW(D27)&gt;Inventory_data!$AL$17*Simulation_assumptions!$D$19+10,"",OFFSET(Inventory_data!$D$19,ROW(F27)-10-Inventory_data!$AL$17*INT((ROW(F27)-11)/Inventory_data!$AL$17),1,1,1)))</f>
        <v>Andira parviflora</v>
      </c>
      <c r="G27" s="350" t="str">
        <f t="array" aca="1" ref="G27" ca="1">IF(B27&lt;&gt;"",IFERROR(INDEX(models_tbl10[Rotation period],MATCH(Inventory_Simulation!D27&amp;Inventory_Simulation!F27,(models_tbl10[Stratum]&amp;models_tbl10[Species]),0)),""),"")</f>
        <v/>
      </c>
      <c r="H27" s="350">
        <f ca="1">IF(D27&lt;&gt;"",VLOOKUP(Inventory_Simulation!Q27,inventory_data_tbl[],7,FALSE),"")</f>
        <v>8</v>
      </c>
      <c r="I27" s="3">
        <f t="shared" ca="1" si="6"/>
        <v>43</v>
      </c>
      <c r="J27" s="33" t="str">
        <f ca="1">IF(D27&lt;&gt;"",IF(ISERROR(VLOOKUP(P27,All_Models!B:G,6,FALSE)),"",VLOOKUP(P27,All_Models!B:G,6,FALSE)),"")</f>
        <v/>
      </c>
      <c r="K27" s="408" t="e">
        <f t="shared" ca="1" si="7"/>
        <v>#VALUE!</v>
      </c>
      <c r="L27" s="408">
        <f ca="1">IF(D27&lt;&gt;"",(44/12)*Species!$I$18*Species!$I$21*'General Data'!$J$19*Species!$I$20,"")</f>
        <v>25.85</v>
      </c>
      <c r="M27" s="408" t="e">
        <f ca="1">IF(B27&lt;&gt;"",(VLOOKUP(D27,strata_tbl[],6,FALSE))*K27,"")</f>
        <v>#VALUE!</v>
      </c>
      <c r="N27" s="408" t="e">
        <f ca="1">IF(D27&lt;&gt;"",(VLOOKUP(D27,strata_tbl[],7,FALSE)*K27),"")</f>
        <v>#VALUE!</v>
      </c>
      <c r="O27" s="408">
        <f t="array" aca="1" ref="O27" ca="1">IF(D27&lt;&gt;"",SUM(IF(ISERROR(K27:N27),"",K27:N27)),"")</f>
        <v>25.85</v>
      </c>
      <c r="P27" s="221" t="str">
        <f t="shared" ca="1" si="8"/>
        <v>Industrial Forest-Andira parviflora-43</v>
      </c>
      <c r="Q27" s="221" t="str">
        <f t="shared" ca="1" si="9"/>
        <v>Industrial Forest-Andira parviflora</v>
      </c>
      <c r="R27" s="221" t="str">
        <f t="shared" ca="1" si="10"/>
        <v>Industrial Forest-Andira parviflora-8</v>
      </c>
      <c r="S27" s="409">
        <f ca="1">IF(B27&lt;&gt;"",VLOOKUP(F27,species_tbl[],4,FALSE),"")</f>
        <v>3.4</v>
      </c>
      <c r="T27" s="409">
        <f ca="1">IF(B27&lt;&gt;"",VLOOKUP(F27,species_tbl[],2,FALSE),"")</f>
        <v>0.69</v>
      </c>
      <c r="U27" s="221" t="e">
        <f t="shared" ca="1" si="11"/>
        <v>#VALUE!</v>
      </c>
      <c r="V27" s="221" t="e">
        <f t="shared" ca="1" si="12"/>
        <v>#VALUE!</v>
      </c>
      <c r="W27" s="409">
        <f ca="1">IF(B27&lt;&gt;"",VLOOKUP(F27,species_tbl[],3,FALSE),"")</f>
        <v>0.47</v>
      </c>
      <c r="X27" s="409">
        <f ca="1">E27/(SUM(Models!$G$16:$G$16))</f>
        <v>0.5</v>
      </c>
      <c r="AG27" s="78">
        <f t="shared" si="13"/>
        <v>17</v>
      </c>
      <c r="AH27" s="78">
        <f>ROUNDDOWN((AG28)/Inventory_data!$AL$17,0)</f>
        <v>6</v>
      </c>
      <c r="AI27" s="78">
        <f>ROUNDDOWN((AG28)/Strata!$P$15,0)</f>
        <v>6</v>
      </c>
    </row>
    <row r="28" spans="2:35" x14ac:dyDescent="0.25">
      <c r="B28" s="350">
        <f ca="1">IF(ISERROR(Simulation_assumptions!$D$19),"",IF(ROW(D28)&gt;Inventory_data!$AL$17*Simulation_assumptions!$D$19+10,"",OFFSET(Simulation_assumptions!$K$7,AH28,0)))</f>
        <v>35</v>
      </c>
      <c r="C28" s="350">
        <f ca="1">IF(ISERROR(Simulation_assumptions!$D$19),"",IF(ROW(C28)&gt;Inventory_data!$AL$17*Simulation_assumptions!$D$19+10,"",OFFSET(Inventory_data!$C$19,ROW(C28)-10-Inventory_data!$AL$17*INT((ROW(C28)-11)/Inventory_data!$AL$17),0,1,1)))</f>
        <v>2015</v>
      </c>
      <c r="D28" s="350" t="str">
        <f ca="1">IF(ISERROR(Simulation_assumptions!$D$19),"",IF(ROW(D28)&gt;Inventory_data!$AL$17*Simulation_assumptions!$D$19+10,"",OFFSET(Inventory_data!$D$19,ROW(D28)-10-Inventory_data!$AL$17*INT((ROW(D28)-11)/Inventory_data!$AL$17),0,1,1)))</f>
        <v>Plantation forest</v>
      </c>
      <c r="E28" s="350">
        <f ca="1">IF(D28&lt;&gt;"",VLOOKUP(D28,strata_tbl[],2,FALSE),"")</f>
        <v>200</v>
      </c>
      <c r="F28" s="350" t="str">
        <f ca="1">IF(ISERROR(Simulation_assumptions!$D$19),"",IF(ROW(D28)&gt;Inventory_data!$AL$17*Simulation_assumptions!$D$19+10,"",OFFSET(Inventory_data!$D$19,ROW(F28)-10-Inventory_data!$AL$17*INT((ROW(F28)-11)/Inventory_data!$AL$17),1,1,1)))</f>
        <v>Aniba amazonica</v>
      </c>
      <c r="G28" s="350" t="str">
        <f t="array" aca="1" ref="G28" ca="1">IF(B28&lt;&gt;"",IFERROR(INDEX(models_tbl10[Rotation period],MATCH(Inventory_Simulation!D28&amp;Inventory_Simulation!F28,(models_tbl10[Stratum]&amp;models_tbl10[Species]),0)),""),"")</f>
        <v/>
      </c>
      <c r="H28" s="350">
        <f ca="1">IF(D28&lt;&gt;"",VLOOKUP(Inventory_Simulation!Q28,inventory_data_tbl[],7,FALSE),"")</f>
        <v>20</v>
      </c>
      <c r="I28" s="3">
        <f t="shared" ca="1" si="6"/>
        <v>55</v>
      </c>
      <c r="J28" s="33" t="str">
        <f ca="1">IF(D28&lt;&gt;"",IF(ISERROR(VLOOKUP(P28,All_Models!B:G,6,FALSE)),"",VLOOKUP(P28,All_Models!B:G,6,FALSE)),"")</f>
        <v/>
      </c>
      <c r="K28" s="408" t="e">
        <f t="shared" ca="1" si="7"/>
        <v>#VALUE!</v>
      </c>
      <c r="L28" s="408">
        <f ca="1">IF(D28&lt;&gt;"",(44/12)*Species!$I$18*Species!$I$21*'General Data'!$J$19*Species!$I$20,"")</f>
        <v>25.85</v>
      </c>
      <c r="M28" s="408" t="e">
        <f ca="1">IF(B28&lt;&gt;"",(VLOOKUP(D28,strata_tbl[],6,FALSE))*K28,"")</f>
        <v>#VALUE!</v>
      </c>
      <c r="N28" s="408" t="e">
        <f ca="1">IF(D28&lt;&gt;"",(VLOOKUP(D28,strata_tbl[],7,FALSE)*K28),"")</f>
        <v>#VALUE!</v>
      </c>
      <c r="O28" s="408">
        <f t="array" aca="1" ref="O28" ca="1">IF(D28&lt;&gt;"",SUM(IF(ISERROR(K28:N28),"",K28:N28)),"")</f>
        <v>25.85</v>
      </c>
      <c r="P28" s="221" t="str">
        <f t="shared" ca="1" si="8"/>
        <v>Plantation forest-Aniba amazonica-55</v>
      </c>
      <c r="Q28" s="221" t="str">
        <f t="shared" ca="1" si="9"/>
        <v>Plantation forest-Aniba amazonica</v>
      </c>
      <c r="R28" s="221" t="str">
        <f t="shared" ca="1" si="10"/>
        <v>Plantation forest-Aniba amazonica-20</v>
      </c>
      <c r="S28" s="409">
        <f ca="1">IF(B28&lt;&gt;"",VLOOKUP(F28,species_tbl[],4,FALSE),"")</f>
        <v>3.4</v>
      </c>
      <c r="T28" s="409">
        <f ca="1">IF(B28&lt;&gt;"",VLOOKUP(F28,species_tbl[],2,FALSE),"")</f>
        <v>0.56000000000000005</v>
      </c>
      <c r="U28" s="221" t="e">
        <f t="shared" ca="1" si="11"/>
        <v>#VALUE!</v>
      </c>
      <c r="V28" s="221" t="e">
        <f t="shared" ca="1" si="12"/>
        <v>#VALUE!</v>
      </c>
      <c r="W28" s="409">
        <f ca="1">IF(B28&lt;&gt;"",VLOOKUP(F28,species_tbl[],3,FALSE),"")</f>
        <v>0.47</v>
      </c>
      <c r="X28" s="409">
        <f ca="1">E28/(SUM(Models!$G$16:$G$16))</f>
        <v>1</v>
      </c>
      <c r="AG28" s="78">
        <f t="shared" si="13"/>
        <v>18</v>
      </c>
      <c r="AH28" s="78">
        <f>ROUNDDOWN((AG29)/Inventory_data!$AL$17,0)</f>
        <v>6</v>
      </c>
      <c r="AI28" s="78">
        <f>ROUNDDOWN((AG29)/Strata!$P$15,0)</f>
        <v>6</v>
      </c>
    </row>
    <row r="29" spans="2:35" x14ac:dyDescent="0.25">
      <c r="B29" s="350">
        <f ca="1">IF(ISERROR(Simulation_assumptions!$D$19),"",IF(ROW(D29)&gt;Inventory_data!$AL$17*Simulation_assumptions!$D$19+10,"",OFFSET(Simulation_assumptions!$K$7,AH29,0)))</f>
        <v>35</v>
      </c>
      <c r="C29" s="350">
        <f ca="1">IF(ISERROR(Simulation_assumptions!$D$19),"",IF(ROW(C29)&gt;Inventory_data!$AL$17*Simulation_assumptions!$D$19+10,"",OFFSET(Inventory_data!$C$19,ROW(C29)-10-Inventory_data!$AL$17*INT((ROW(C29)-11)/Inventory_data!$AL$17),0,1,1)))</f>
        <v>2015</v>
      </c>
      <c r="D29" s="350" t="str">
        <f ca="1">IF(ISERROR(Simulation_assumptions!$D$19),"",IF(ROW(D29)&gt;Inventory_data!$AL$17*Simulation_assumptions!$D$19+10,"",OFFSET(Inventory_data!$D$19,ROW(D29)-10-Inventory_data!$AL$17*INT((ROW(D29)-11)/Inventory_data!$AL$17),0,1,1)))</f>
        <v>Private forest</v>
      </c>
      <c r="E29" s="350">
        <f ca="1">IF(D29&lt;&gt;"",VLOOKUP(D29,strata_tbl[],2,FALSE),"")</f>
        <v>200</v>
      </c>
      <c r="F29" s="350" t="str">
        <f ca="1">IF(ISERROR(Simulation_assumptions!$D$19),"",IF(ROW(D29)&gt;Inventory_data!$AL$17*Simulation_assumptions!$D$19+10,"",OFFSET(Inventory_data!$D$19,ROW(F29)-10-Inventory_data!$AL$17*INT((ROW(F29)-11)/Inventory_data!$AL$17),1,1,1)))</f>
        <v>Andira retusa</v>
      </c>
      <c r="G29" s="350">
        <f t="array" aca="1" ref="G29" ca="1">IF(B29&lt;&gt;"",IFERROR(INDEX(models_tbl10[Rotation period],MATCH(Inventory_Simulation!D29&amp;Inventory_Simulation!F29,(models_tbl10[Stratum]&amp;models_tbl10[Species]),0)),""),"")</f>
        <v>10</v>
      </c>
      <c r="H29" s="350">
        <f ca="1">IF(D29&lt;&gt;"",VLOOKUP(Inventory_Simulation!Q29,inventory_data_tbl[],7,FALSE),"")</f>
        <v>5</v>
      </c>
      <c r="I29" s="3">
        <f t="shared" ca="1" si="6"/>
        <v>0</v>
      </c>
      <c r="J29" s="33" t="str">
        <f ca="1">IF(D29&lt;&gt;"",IF(ISERROR(VLOOKUP(P29,All_Models!B:G,6,FALSE)),"",VLOOKUP(P29,All_Models!B:G,6,FALSE)),"")</f>
        <v/>
      </c>
      <c r="K29" s="408" t="e">
        <f t="shared" ca="1" si="7"/>
        <v>#VALUE!</v>
      </c>
      <c r="L29" s="408">
        <f ca="1">IF(D29&lt;&gt;"",(44/12)*Species!$I$18*Species!$I$21*'General Data'!$J$19*Species!$I$20,"")</f>
        <v>25.85</v>
      </c>
      <c r="M29" s="408" t="e">
        <f ca="1">IF(B29&lt;&gt;"",(VLOOKUP(D29,strata_tbl[],6,FALSE))*K29,"")</f>
        <v>#VALUE!</v>
      </c>
      <c r="N29" s="408" t="e">
        <f ca="1">IF(D29&lt;&gt;"",(VLOOKUP(D29,strata_tbl[],7,FALSE)*K29),"")</f>
        <v>#VALUE!</v>
      </c>
      <c r="O29" s="408">
        <f t="array" aca="1" ref="O29" ca="1">IF(D29&lt;&gt;"",SUM(IF(ISERROR(K29:N29),"",K29:N29)),"")</f>
        <v>25.85</v>
      </c>
      <c r="P29" s="221" t="str">
        <f t="shared" ca="1" si="8"/>
        <v>Private forest-Andira retusa-0</v>
      </c>
      <c r="Q29" s="221" t="str">
        <f t="shared" ca="1" si="9"/>
        <v>Private forest-Andira retusa</v>
      </c>
      <c r="R29" s="221" t="str">
        <f t="shared" ca="1" si="10"/>
        <v>Private forest-Andira retusa-5</v>
      </c>
      <c r="S29" s="409">
        <f ca="1">IF(B29&lt;&gt;"",VLOOKUP(F29,species_tbl[],4,FALSE),"")</f>
        <v>3.4</v>
      </c>
      <c r="T29" s="409">
        <f ca="1">IF(B29&lt;&gt;"",VLOOKUP(F29,species_tbl[],2,FALSE),"")</f>
        <v>0.67</v>
      </c>
      <c r="U29" s="221" t="e">
        <f t="shared" ca="1" si="11"/>
        <v>#VALUE!</v>
      </c>
      <c r="V29" s="221" t="e">
        <f t="shared" ca="1" si="12"/>
        <v>#VALUE!</v>
      </c>
      <c r="W29" s="409">
        <f ca="1">IF(B29&lt;&gt;"",VLOOKUP(F29,species_tbl[],3,FALSE),"")</f>
        <v>0.47</v>
      </c>
      <c r="X29" s="409">
        <f ca="1">E29/(SUM(Models!$G$16:$G$16))</f>
        <v>1</v>
      </c>
      <c r="AG29" s="78">
        <f t="shared" si="13"/>
        <v>19</v>
      </c>
      <c r="AH29" s="78">
        <f>ROUNDDOWN((AG30)/Inventory_data!$AL$17,0)</f>
        <v>6</v>
      </c>
      <c r="AI29" s="78">
        <f>ROUNDDOWN((AG30)/Strata!$P$15,0)</f>
        <v>6</v>
      </c>
    </row>
    <row r="30" spans="2:35" x14ac:dyDescent="0.25">
      <c r="B30" s="350">
        <f ca="1">IF(ISERROR(Simulation_assumptions!$D$19),"",IF(ROW(D30)&gt;Inventory_data!$AL$17*Simulation_assumptions!$D$19+10,"",OFFSET(Simulation_assumptions!$K$7,AH30,0)))</f>
        <v>40</v>
      </c>
      <c r="C30" s="350">
        <f ca="1">IF(ISERROR(Simulation_assumptions!$D$19),"",IF(ROW(C30)&gt;Inventory_data!$AL$17*Simulation_assumptions!$D$19+10,"",OFFSET(Inventory_data!$C$19,ROW(C30)-10-Inventory_data!$AL$17*INT((ROW(C30)-11)/Inventory_data!$AL$17),0,1,1)))</f>
        <v>2015</v>
      </c>
      <c r="D30" s="350" t="str">
        <f ca="1">IF(ISERROR(Simulation_assumptions!$D$19),"",IF(ROW(D30)&gt;Inventory_data!$AL$17*Simulation_assumptions!$D$19+10,"",OFFSET(Inventory_data!$D$19,ROW(D30)-10-Inventory_data!$AL$17*INT((ROW(D30)-11)/Inventory_data!$AL$17),0,1,1)))</f>
        <v>Industrial Forest</v>
      </c>
      <c r="E30" s="350">
        <f ca="1">IF(D30&lt;&gt;"",VLOOKUP(D30,strata_tbl[],2,FALSE),"")</f>
        <v>100</v>
      </c>
      <c r="F30" s="350" t="str">
        <f ca="1">IF(ISERROR(Simulation_assumptions!$D$19),"",IF(ROW(D30)&gt;Inventory_data!$AL$17*Simulation_assumptions!$D$19+10,"",OFFSET(Inventory_data!$D$19,ROW(F30)-10-Inventory_data!$AL$17*INT((ROW(F30)-11)/Inventory_data!$AL$17),1,1,1)))</f>
        <v>Andira parviflora</v>
      </c>
      <c r="G30" s="350" t="str">
        <f t="array" aca="1" ref="G30" ca="1">IF(B30&lt;&gt;"",IFERROR(INDEX(models_tbl10[Rotation period],MATCH(Inventory_Simulation!D30&amp;Inventory_Simulation!F30,(models_tbl10[Stratum]&amp;models_tbl10[Species]),0)),""),"")</f>
        <v/>
      </c>
      <c r="H30" s="350">
        <f ca="1">IF(D30&lt;&gt;"",VLOOKUP(Inventory_Simulation!Q30,inventory_data_tbl[],7,FALSE),"")</f>
        <v>8</v>
      </c>
      <c r="I30" s="3">
        <f t="shared" ca="1" si="6"/>
        <v>48</v>
      </c>
      <c r="J30" s="33" t="str">
        <f ca="1">IF(D30&lt;&gt;"",IF(ISERROR(VLOOKUP(P30,All_Models!B:G,6,FALSE)),"",VLOOKUP(P30,All_Models!B:G,6,FALSE)),"")</f>
        <v/>
      </c>
      <c r="K30" s="408" t="e">
        <f t="shared" ca="1" si="7"/>
        <v>#VALUE!</v>
      </c>
      <c r="L30" s="408">
        <f ca="1">IF(D30&lt;&gt;"",(44/12)*Species!$I$18*Species!$I$21*'General Data'!$J$19*Species!$I$20,"")</f>
        <v>25.85</v>
      </c>
      <c r="M30" s="408" t="e">
        <f ca="1">IF(B30&lt;&gt;"",(VLOOKUP(D30,strata_tbl[],6,FALSE))*K30,"")</f>
        <v>#VALUE!</v>
      </c>
      <c r="N30" s="408" t="e">
        <f ca="1">IF(D30&lt;&gt;"",(VLOOKUP(D30,strata_tbl[],7,FALSE)*K30),"")</f>
        <v>#VALUE!</v>
      </c>
      <c r="O30" s="408">
        <f t="array" aca="1" ref="O30" ca="1">IF(D30&lt;&gt;"",SUM(IF(ISERROR(K30:N30),"",K30:N30)),"")</f>
        <v>25.85</v>
      </c>
      <c r="P30" s="221" t="str">
        <f t="shared" ca="1" si="8"/>
        <v>Industrial Forest-Andira parviflora-48</v>
      </c>
      <c r="Q30" s="221" t="str">
        <f t="shared" ca="1" si="9"/>
        <v>Industrial Forest-Andira parviflora</v>
      </c>
      <c r="R30" s="221" t="str">
        <f t="shared" ca="1" si="10"/>
        <v>Industrial Forest-Andira parviflora-8</v>
      </c>
      <c r="S30" s="409">
        <f ca="1">IF(B30&lt;&gt;"",VLOOKUP(F30,species_tbl[],4,FALSE),"")</f>
        <v>3.4</v>
      </c>
      <c r="T30" s="409">
        <f ca="1">IF(B30&lt;&gt;"",VLOOKUP(F30,species_tbl[],2,FALSE),"")</f>
        <v>0.69</v>
      </c>
      <c r="U30" s="221" t="e">
        <f t="shared" ca="1" si="11"/>
        <v>#VALUE!</v>
      </c>
      <c r="V30" s="221" t="e">
        <f t="shared" ca="1" si="12"/>
        <v>#VALUE!</v>
      </c>
      <c r="W30" s="409">
        <f ca="1">IF(B30&lt;&gt;"",VLOOKUP(F30,species_tbl[],3,FALSE),"")</f>
        <v>0.47</v>
      </c>
      <c r="X30" s="409">
        <f ca="1">E30/(SUM(Models!$G$16:$G$16))</f>
        <v>0.5</v>
      </c>
      <c r="AG30" s="78">
        <f t="shared" si="13"/>
        <v>20</v>
      </c>
      <c r="AH30" s="78">
        <f>ROUNDDOWN((AG31)/Inventory_data!$AL$17,0)</f>
        <v>7</v>
      </c>
      <c r="AI30" s="78">
        <f>ROUNDDOWN((AG31)/Strata!$P$15,0)</f>
        <v>7</v>
      </c>
    </row>
    <row r="31" spans="2:35" x14ac:dyDescent="0.25">
      <c r="B31" s="350">
        <f ca="1">IF(ISERROR(Simulation_assumptions!$D$19),"",IF(ROW(D31)&gt;Inventory_data!$AL$17*Simulation_assumptions!$D$19+10,"",OFFSET(Simulation_assumptions!$K$7,AH31,0)))</f>
        <v>40</v>
      </c>
      <c r="C31" s="350">
        <f ca="1">IF(ISERROR(Simulation_assumptions!$D$19),"",IF(ROW(C31)&gt;Inventory_data!$AL$17*Simulation_assumptions!$D$19+10,"",OFFSET(Inventory_data!$C$19,ROW(C31)-10-Inventory_data!$AL$17*INT((ROW(C31)-11)/Inventory_data!$AL$17),0,1,1)))</f>
        <v>2015</v>
      </c>
      <c r="D31" s="350" t="str">
        <f ca="1">IF(ISERROR(Simulation_assumptions!$D$19),"",IF(ROW(D31)&gt;Inventory_data!$AL$17*Simulation_assumptions!$D$19+10,"",OFFSET(Inventory_data!$D$19,ROW(D31)-10-Inventory_data!$AL$17*INT((ROW(D31)-11)/Inventory_data!$AL$17),0,1,1)))</f>
        <v>Plantation forest</v>
      </c>
      <c r="E31" s="350">
        <f ca="1">IF(D31&lt;&gt;"",VLOOKUP(D31,strata_tbl[],2,FALSE),"")</f>
        <v>200</v>
      </c>
      <c r="F31" s="350" t="str">
        <f ca="1">IF(ISERROR(Simulation_assumptions!$D$19),"",IF(ROW(D31)&gt;Inventory_data!$AL$17*Simulation_assumptions!$D$19+10,"",OFFSET(Inventory_data!$D$19,ROW(F31)-10-Inventory_data!$AL$17*INT((ROW(F31)-11)/Inventory_data!$AL$17),1,1,1)))</f>
        <v>Aniba amazonica</v>
      </c>
      <c r="G31" s="350" t="str">
        <f t="array" aca="1" ref="G31" ca="1">IF(B31&lt;&gt;"",IFERROR(INDEX(models_tbl10[Rotation period],MATCH(Inventory_Simulation!D31&amp;Inventory_Simulation!F31,(models_tbl10[Stratum]&amp;models_tbl10[Species]),0)),""),"")</f>
        <v/>
      </c>
      <c r="H31" s="350">
        <f ca="1">IF(D31&lt;&gt;"",VLOOKUP(Inventory_Simulation!Q31,inventory_data_tbl[],7,FALSE),"")</f>
        <v>20</v>
      </c>
      <c r="I31" s="3">
        <f t="shared" ca="1" si="6"/>
        <v>60</v>
      </c>
      <c r="J31" s="33" t="str">
        <f ca="1">IF(D31&lt;&gt;"",IF(ISERROR(VLOOKUP(P31,All_Models!B:G,6,FALSE)),"",VLOOKUP(P31,All_Models!B:G,6,FALSE)),"")</f>
        <v/>
      </c>
      <c r="K31" s="408" t="e">
        <f t="shared" ca="1" si="7"/>
        <v>#VALUE!</v>
      </c>
      <c r="L31" s="408">
        <f ca="1">IF(D31&lt;&gt;"",(44/12)*Species!$I$18*Species!$I$21*'General Data'!$J$19*Species!$I$20,"")</f>
        <v>25.85</v>
      </c>
      <c r="M31" s="408" t="e">
        <f ca="1">IF(B31&lt;&gt;"",(VLOOKUP(D31,strata_tbl[],6,FALSE))*K31,"")</f>
        <v>#VALUE!</v>
      </c>
      <c r="N31" s="408" t="e">
        <f ca="1">IF(D31&lt;&gt;"",(VLOOKUP(D31,strata_tbl[],7,FALSE)*K31),"")</f>
        <v>#VALUE!</v>
      </c>
      <c r="O31" s="408">
        <f t="array" aca="1" ref="O31" ca="1">IF(D31&lt;&gt;"",SUM(IF(ISERROR(K31:N31),"",K31:N31)),"")</f>
        <v>25.85</v>
      </c>
      <c r="P31" s="221" t="str">
        <f t="shared" ca="1" si="8"/>
        <v>Plantation forest-Aniba amazonica-60</v>
      </c>
      <c r="Q31" s="221" t="str">
        <f t="shared" ca="1" si="9"/>
        <v>Plantation forest-Aniba amazonica</v>
      </c>
      <c r="R31" s="221" t="str">
        <f t="shared" ca="1" si="10"/>
        <v>Plantation forest-Aniba amazonica-20</v>
      </c>
      <c r="S31" s="409">
        <f ca="1">IF(B31&lt;&gt;"",VLOOKUP(F31,species_tbl[],4,FALSE),"")</f>
        <v>3.4</v>
      </c>
      <c r="T31" s="409">
        <f ca="1">IF(B31&lt;&gt;"",VLOOKUP(F31,species_tbl[],2,FALSE),"")</f>
        <v>0.56000000000000005</v>
      </c>
      <c r="U31" s="221" t="e">
        <f t="shared" ca="1" si="11"/>
        <v>#VALUE!</v>
      </c>
      <c r="V31" s="221" t="e">
        <f t="shared" ca="1" si="12"/>
        <v>#VALUE!</v>
      </c>
      <c r="W31" s="409">
        <f ca="1">IF(B31&lt;&gt;"",VLOOKUP(F31,species_tbl[],3,FALSE),"")</f>
        <v>0.47</v>
      </c>
      <c r="X31" s="409">
        <f ca="1">E31/(SUM(Models!$G$16:$G$16))</f>
        <v>1</v>
      </c>
      <c r="AG31" s="78">
        <f t="shared" si="13"/>
        <v>21</v>
      </c>
      <c r="AH31" s="78">
        <f>ROUNDDOWN((AG32)/Inventory_data!$AL$17,0)</f>
        <v>7</v>
      </c>
      <c r="AI31" s="78">
        <f>ROUNDDOWN((AG32)/Strata!$P$15,0)</f>
        <v>7</v>
      </c>
    </row>
    <row r="32" spans="2:35" x14ac:dyDescent="0.25">
      <c r="B32" s="350">
        <f ca="1">IF(ISERROR(Simulation_assumptions!$D$19),"",IF(ROW(D32)&gt;Inventory_data!$AL$17*Simulation_assumptions!$D$19+10,"",OFFSET(Simulation_assumptions!$K$7,AH32,0)))</f>
        <v>40</v>
      </c>
      <c r="C32" s="350">
        <f ca="1">IF(ISERROR(Simulation_assumptions!$D$19),"",IF(ROW(C32)&gt;Inventory_data!$AL$17*Simulation_assumptions!$D$19+10,"",OFFSET(Inventory_data!$C$19,ROW(C32)-10-Inventory_data!$AL$17*INT((ROW(C32)-11)/Inventory_data!$AL$17),0,1,1)))</f>
        <v>2015</v>
      </c>
      <c r="D32" s="350" t="str">
        <f ca="1">IF(ISERROR(Simulation_assumptions!$D$19),"",IF(ROW(D32)&gt;Inventory_data!$AL$17*Simulation_assumptions!$D$19+10,"",OFFSET(Inventory_data!$D$19,ROW(D32)-10-Inventory_data!$AL$17*INT((ROW(D32)-11)/Inventory_data!$AL$17),0,1,1)))</f>
        <v>Private forest</v>
      </c>
      <c r="E32" s="350">
        <f ca="1">IF(D32&lt;&gt;"",VLOOKUP(D32,strata_tbl[],2,FALSE),"")</f>
        <v>200</v>
      </c>
      <c r="F32" s="350" t="str">
        <f ca="1">IF(ISERROR(Simulation_assumptions!$D$19),"",IF(ROW(D32)&gt;Inventory_data!$AL$17*Simulation_assumptions!$D$19+10,"",OFFSET(Inventory_data!$D$19,ROW(F32)-10-Inventory_data!$AL$17*INT((ROW(F32)-11)/Inventory_data!$AL$17),1,1,1)))</f>
        <v>Andira retusa</v>
      </c>
      <c r="G32" s="350">
        <f t="array" aca="1" ref="G32" ca="1">IF(B32&lt;&gt;"",IFERROR(INDEX(models_tbl10[Rotation period],MATCH(Inventory_Simulation!D32&amp;Inventory_Simulation!F32,(models_tbl10[Stratum]&amp;models_tbl10[Species]),0)),""),"")</f>
        <v>10</v>
      </c>
      <c r="H32" s="350">
        <f ca="1">IF(D32&lt;&gt;"",VLOOKUP(Inventory_Simulation!Q32,inventory_data_tbl[],7,FALSE),"")</f>
        <v>5</v>
      </c>
      <c r="I32" s="3">
        <f t="shared" ca="1" si="6"/>
        <v>5</v>
      </c>
      <c r="J32" s="33">
        <f ca="1">IF(D32&lt;&gt;"",IF(ISERROR(VLOOKUP(P32,All_Models!B:G,6,FALSE)),"",VLOOKUP(P32,All_Models!B:G,6,FALSE)),"")</f>
        <v>30</v>
      </c>
      <c r="K32" s="408">
        <f t="shared" ca="1" si="7"/>
        <v>146.83523127090882</v>
      </c>
      <c r="L32" s="408">
        <f ca="1">IF(D32&lt;&gt;"",(44/12)*Species!$I$18*Species!$I$21*'General Data'!$J$19*Species!$I$20,"")</f>
        <v>25.85</v>
      </c>
      <c r="M32" s="408">
        <f ca="1">IF(B32&lt;&gt;"",(VLOOKUP(D32,strata_tbl[],6,FALSE))*K32,"")</f>
        <v>2.9367046254181766</v>
      </c>
      <c r="N32" s="408">
        <f ca="1">IF(D32&lt;&gt;"",(VLOOKUP(D32,strata_tbl[],7,FALSE)*K32),"")</f>
        <v>5.8734092508363531</v>
      </c>
      <c r="O32" s="408">
        <f t="array" aca="1" ref="O32" ca="1">IF(D32&lt;&gt;"",SUM(IF(ISERROR(K32:N32),"",K32:N32)),"")</f>
        <v>181.49534514716333</v>
      </c>
      <c r="P32" s="221" t="str">
        <f t="shared" ca="1" si="8"/>
        <v>Private forest-Andira retusa-5</v>
      </c>
      <c r="Q32" s="221" t="str">
        <f t="shared" ca="1" si="9"/>
        <v>Private forest-Andira retusa</v>
      </c>
      <c r="R32" s="221" t="str">
        <f t="shared" ca="1" si="10"/>
        <v>Private forest-Andira retusa-5</v>
      </c>
      <c r="S32" s="409">
        <f ca="1">IF(B32&lt;&gt;"",VLOOKUP(F32,species_tbl[],4,FALSE),"")</f>
        <v>3.4</v>
      </c>
      <c r="T32" s="409">
        <f ca="1">IF(B32&lt;&gt;"",VLOOKUP(F32,species_tbl[],2,FALSE),"")</f>
        <v>0.67</v>
      </c>
      <c r="U32" s="221">
        <f t="shared" ca="1" si="11"/>
        <v>68.34</v>
      </c>
      <c r="V32" s="221">
        <f t="shared" ca="1" si="12"/>
        <v>0.24676903856167587</v>
      </c>
      <c r="W32" s="409">
        <f ca="1">IF(B32&lt;&gt;"",VLOOKUP(F32,species_tbl[],3,FALSE),"")</f>
        <v>0.47</v>
      </c>
      <c r="X32" s="409">
        <f ca="1">E32/(SUM(Models!$G$16:$G$16))</f>
        <v>1</v>
      </c>
      <c r="AG32" s="78">
        <f t="shared" si="13"/>
        <v>22</v>
      </c>
      <c r="AH32" s="78">
        <f>ROUNDDOWN((AG33)/Inventory_data!$AL$17,0)</f>
        <v>7</v>
      </c>
      <c r="AI32" s="78">
        <f>ROUNDDOWN((AG33)/Strata!$P$15,0)</f>
        <v>7</v>
      </c>
    </row>
    <row r="33" spans="2:35" x14ac:dyDescent="0.25">
      <c r="B33" s="350">
        <f ca="1">IF(ISERROR(Simulation_assumptions!$D$19),"",IF(ROW(D33)&gt;Inventory_data!$AL$17*Simulation_assumptions!$D$19+10,"",OFFSET(Simulation_assumptions!$K$7,AH33,0)))</f>
        <v>45</v>
      </c>
      <c r="C33" s="350">
        <f ca="1">IF(ISERROR(Simulation_assumptions!$D$19),"",IF(ROW(C33)&gt;Inventory_data!$AL$17*Simulation_assumptions!$D$19+10,"",OFFSET(Inventory_data!$C$19,ROW(C33)-10-Inventory_data!$AL$17*INT((ROW(C33)-11)/Inventory_data!$AL$17),0,1,1)))</f>
        <v>2015</v>
      </c>
      <c r="D33" s="350" t="str">
        <f ca="1">IF(ISERROR(Simulation_assumptions!$D$19),"",IF(ROW(D33)&gt;Inventory_data!$AL$17*Simulation_assumptions!$D$19+10,"",OFFSET(Inventory_data!$D$19,ROW(D33)-10-Inventory_data!$AL$17*INT((ROW(D33)-11)/Inventory_data!$AL$17),0,1,1)))</f>
        <v>Industrial Forest</v>
      </c>
      <c r="E33" s="350">
        <f ca="1">IF(D33&lt;&gt;"",VLOOKUP(D33,strata_tbl[],2,FALSE),"")</f>
        <v>100</v>
      </c>
      <c r="F33" s="350" t="str">
        <f ca="1">IF(ISERROR(Simulation_assumptions!$D$19),"",IF(ROW(D33)&gt;Inventory_data!$AL$17*Simulation_assumptions!$D$19+10,"",OFFSET(Inventory_data!$D$19,ROW(F33)-10-Inventory_data!$AL$17*INT((ROW(F33)-11)/Inventory_data!$AL$17),1,1,1)))</f>
        <v>Andira parviflora</v>
      </c>
      <c r="G33" s="350" t="str">
        <f t="array" aca="1" ref="G33" ca="1">IF(B33&lt;&gt;"",IFERROR(INDEX(models_tbl10[Rotation period],MATCH(Inventory_Simulation!D33&amp;Inventory_Simulation!F33,(models_tbl10[Stratum]&amp;models_tbl10[Species]),0)),""),"")</f>
        <v/>
      </c>
      <c r="H33" s="350">
        <f ca="1">IF(D33&lt;&gt;"",VLOOKUP(Inventory_Simulation!Q33,inventory_data_tbl[],7,FALSE),"")</f>
        <v>8</v>
      </c>
      <c r="I33" s="3">
        <f t="shared" ca="1" si="6"/>
        <v>53</v>
      </c>
      <c r="J33" s="33" t="str">
        <f ca="1">IF(D33&lt;&gt;"",IF(ISERROR(VLOOKUP(P33,All_Models!B:G,6,FALSE)),"",VLOOKUP(P33,All_Models!B:G,6,FALSE)),"")</f>
        <v/>
      </c>
      <c r="K33" s="408" t="e">
        <f t="shared" ca="1" si="7"/>
        <v>#VALUE!</v>
      </c>
      <c r="L33" s="408">
        <f ca="1">IF(D33&lt;&gt;"",(44/12)*Species!$I$18*Species!$I$21*'General Data'!$J$19*Species!$I$20,"")</f>
        <v>25.85</v>
      </c>
      <c r="M33" s="408" t="e">
        <f ca="1">IF(B33&lt;&gt;"",(VLOOKUP(D33,strata_tbl[],6,FALSE))*K33,"")</f>
        <v>#VALUE!</v>
      </c>
      <c r="N33" s="408" t="e">
        <f ca="1">IF(D33&lt;&gt;"",(VLOOKUP(D33,strata_tbl[],7,FALSE)*K33),"")</f>
        <v>#VALUE!</v>
      </c>
      <c r="O33" s="408">
        <f t="array" aca="1" ref="O33" ca="1">IF(D33&lt;&gt;"",SUM(IF(ISERROR(K33:N33),"",K33:N33)),"")</f>
        <v>25.85</v>
      </c>
      <c r="P33" s="221" t="str">
        <f t="shared" ca="1" si="8"/>
        <v>Industrial Forest-Andira parviflora-53</v>
      </c>
      <c r="Q33" s="221" t="str">
        <f t="shared" ca="1" si="9"/>
        <v>Industrial Forest-Andira parviflora</v>
      </c>
      <c r="R33" s="221" t="str">
        <f t="shared" ca="1" si="10"/>
        <v>Industrial Forest-Andira parviflora-8</v>
      </c>
      <c r="S33" s="409">
        <f ca="1">IF(B33&lt;&gt;"",VLOOKUP(F33,species_tbl[],4,FALSE),"")</f>
        <v>3.4</v>
      </c>
      <c r="T33" s="409">
        <f ca="1">IF(B33&lt;&gt;"",VLOOKUP(F33,species_tbl[],2,FALSE),"")</f>
        <v>0.69</v>
      </c>
      <c r="U33" s="221" t="e">
        <f t="shared" ca="1" si="11"/>
        <v>#VALUE!</v>
      </c>
      <c r="V33" s="221" t="e">
        <f t="shared" ca="1" si="12"/>
        <v>#VALUE!</v>
      </c>
      <c r="W33" s="409">
        <f ca="1">IF(B33&lt;&gt;"",VLOOKUP(F33,species_tbl[],3,FALSE),"")</f>
        <v>0.47</v>
      </c>
      <c r="X33" s="409">
        <f ca="1">E33/(SUM(Models!$G$16:$G$16))</f>
        <v>0.5</v>
      </c>
      <c r="AG33" s="78">
        <f t="shared" si="13"/>
        <v>23</v>
      </c>
      <c r="AH33" s="78">
        <f>ROUNDDOWN((AG34)/Inventory_data!$AL$17,0)</f>
        <v>8</v>
      </c>
      <c r="AI33" s="78">
        <f>ROUNDDOWN((AG34)/Strata!$P$15,0)</f>
        <v>8</v>
      </c>
    </row>
    <row r="34" spans="2:35" x14ac:dyDescent="0.25">
      <c r="B34" s="350">
        <f ca="1">IF(ISERROR(Simulation_assumptions!$D$19),"",IF(ROW(D34)&gt;Inventory_data!$AL$17*Simulation_assumptions!$D$19+10,"",OFFSET(Simulation_assumptions!$K$7,AH34,0)))</f>
        <v>45</v>
      </c>
      <c r="C34" s="350">
        <f ca="1">IF(ISERROR(Simulation_assumptions!$D$19),"",IF(ROW(C34)&gt;Inventory_data!$AL$17*Simulation_assumptions!$D$19+10,"",OFFSET(Inventory_data!$C$19,ROW(C34)-10-Inventory_data!$AL$17*INT((ROW(C34)-11)/Inventory_data!$AL$17),0,1,1)))</f>
        <v>2015</v>
      </c>
      <c r="D34" s="350" t="str">
        <f ca="1">IF(ISERROR(Simulation_assumptions!$D$19),"",IF(ROW(D34)&gt;Inventory_data!$AL$17*Simulation_assumptions!$D$19+10,"",OFFSET(Inventory_data!$D$19,ROW(D34)-10-Inventory_data!$AL$17*INT((ROW(D34)-11)/Inventory_data!$AL$17),0,1,1)))</f>
        <v>Plantation forest</v>
      </c>
      <c r="E34" s="350">
        <f ca="1">IF(D34&lt;&gt;"",VLOOKUP(D34,strata_tbl[],2,FALSE),"")</f>
        <v>200</v>
      </c>
      <c r="F34" s="350" t="str">
        <f ca="1">IF(ISERROR(Simulation_assumptions!$D$19),"",IF(ROW(D34)&gt;Inventory_data!$AL$17*Simulation_assumptions!$D$19+10,"",OFFSET(Inventory_data!$D$19,ROW(F34)-10-Inventory_data!$AL$17*INT((ROW(F34)-11)/Inventory_data!$AL$17),1,1,1)))</f>
        <v>Aniba amazonica</v>
      </c>
      <c r="G34" s="350" t="str">
        <f t="array" aca="1" ref="G34" ca="1">IF(B34&lt;&gt;"",IFERROR(INDEX(models_tbl10[Rotation period],MATCH(Inventory_Simulation!D34&amp;Inventory_Simulation!F34,(models_tbl10[Stratum]&amp;models_tbl10[Species]),0)),""),"")</f>
        <v/>
      </c>
      <c r="H34" s="350">
        <f ca="1">IF(D34&lt;&gt;"",VLOOKUP(Inventory_Simulation!Q34,inventory_data_tbl[],7,FALSE),"")</f>
        <v>20</v>
      </c>
      <c r="I34" s="3">
        <f t="shared" ca="1" si="6"/>
        <v>65</v>
      </c>
      <c r="J34" s="33" t="str">
        <f ca="1">IF(D34&lt;&gt;"",IF(ISERROR(VLOOKUP(P34,All_Models!B:G,6,FALSE)),"",VLOOKUP(P34,All_Models!B:G,6,FALSE)),"")</f>
        <v/>
      </c>
      <c r="K34" s="408" t="e">
        <f t="shared" ca="1" si="7"/>
        <v>#VALUE!</v>
      </c>
      <c r="L34" s="408">
        <f ca="1">IF(D34&lt;&gt;"",(44/12)*Species!$I$18*Species!$I$21*'General Data'!$J$19*Species!$I$20,"")</f>
        <v>25.85</v>
      </c>
      <c r="M34" s="408" t="e">
        <f ca="1">IF(B34&lt;&gt;"",(VLOOKUP(D34,strata_tbl[],6,FALSE))*K34,"")</f>
        <v>#VALUE!</v>
      </c>
      <c r="N34" s="408" t="e">
        <f ca="1">IF(D34&lt;&gt;"",(VLOOKUP(D34,strata_tbl[],7,FALSE)*K34),"")</f>
        <v>#VALUE!</v>
      </c>
      <c r="O34" s="408">
        <f t="array" aca="1" ref="O34" ca="1">IF(D34&lt;&gt;"",SUM(IF(ISERROR(K34:N34),"",K34:N34)),"")</f>
        <v>25.85</v>
      </c>
      <c r="P34" s="221" t="str">
        <f t="shared" ca="1" si="8"/>
        <v>Plantation forest-Aniba amazonica-65</v>
      </c>
      <c r="Q34" s="221" t="str">
        <f t="shared" ca="1" si="9"/>
        <v>Plantation forest-Aniba amazonica</v>
      </c>
      <c r="R34" s="221" t="str">
        <f t="shared" ca="1" si="10"/>
        <v>Plantation forest-Aniba amazonica-20</v>
      </c>
      <c r="S34" s="409">
        <f ca="1">IF(B34&lt;&gt;"",VLOOKUP(F34,species_tbl[],4,FALSE),"")</f>
        <v>3.4</v>
      </c>
      <c r="T34" s="409">
        <f ca="1">IF(B34&lt;&gt;"",VLOOKUP(F34,species_tbl[],2,FALSE),"")</f>
        <v>0.56000000000000005</v>
      </c>
      <c r="U34" s="221" t="e">
        <f t="shared" ca="1" si="11"/>
        <v>#VALUE!</v>
      </c>
      <c r="V34" s="221" t="e">
        <f t="shared" ca="1" si="12"/>
        <v>#VALUE!</v>
      </c>
      <c r="W34" s="409">
        <f ca="1">IF(B34&lt;&gt;"",VLOOKUP(F34,species_tbl[],3,FALSE),"")</f>
        <v>0.47</v>
      </c>
      <c r="X34" s="409">
        <f ca="1">E34/(SUM(Models!$G$16:$G$16))</f>
        <v>1</v>
      </c>
      <c r="AG34" s="78">
        <f t="shared" si="13"/>
        <v>24</v>
      </c>
      <c r="AH34" s="78">
        <f>ROUNDDOWN((AG35)/Inventory_data!$AL$17,0)</f>
        <v>8</v>
      </c>
      <c r="AI34" s="78">
        <f>ROUNDDOWN((AG35)/Strata!$P$15,0)</f>
        <v>8</v>
      </c>
    </row>
    <row r="35" spans="2:35" x14ac:dyDescent="0.25">
      <c r="B35" s="350">
        <f ca="1">IF(ISERROR(Simulation_assumptions!$D$19),"",IF(ROW(D35)&gt;Inventory_data!$AL$17*Simulation_assumptions!$D$19+10,"",OFFSET(Simulation_assumptions!$K$7,AH35,0)))</f>
        <v>45</v>
      </c>
      <c r="C35" s="350">
        <f ca="1">IF(ISERROR(Simulation_assumptions!$D$19),"",IF(ROW(C35)&gt;Inventory_data!$AL$17*Simulation_assumptions!$D$19+10,"",OFFSET(Inventory_data!$C$19,ROW(C35)-10-Inventory_data!$AL$17*INT((ROW(C35)-11)/Inventory_data!$AL$17),0,1,1)))</f>
        <v>2015</v>
      </c>
      <c r="D35" s="350" t="str">
        <f ca="1">IF(ISERROR(Simulation_assumptions!$D$19),"",IF(ROW(D35)&gt;Inventory_data!$AL$17*Simulation_assumptions!$D$19+10,"",OFFSET(Inventory_data!$D$19,ROW(D35)-10-Inventory_data!$AL$17*INT((ROW(D35)-11)/Inventory_data!$AL$17),0,1,1)))</f>
        <v>Private forest</v>
      </c>
      <c r="E35" s="350">
        <f ca="1">IF(D35&lt;&gt;"",VLOOKUP(D35,strata_tbl[],2,FALSE),"")</f>
        <v>200</v>
      </c>
      <c r="F35" s="350" t="str">
        <f ca="1">IF(ISERROR(Simulation_assumptions!$D$19),"",IF(ROW(D35)&gt;Inventory_data!$AL$17*Simulation_assumptions!$D$19+10,"",OFFSET(Inventory_data!$D$19,ROW(F35)-10-Inventory_data!$AL$17*INT((ROW(F35)-11)/Inventory_data!$AL$17),1,1,1)))</f>
        <v>Andira retusa</v>
      </c>
      <c r="G35" s="350">
        <f t="array" aca="1" ref="G35" ca="1">IF(B35&lt;&gt;"",IFERROR(INDEX(models_tbl10[Rotation period],MATCH(Inventory_Simulation!D35&amp;Inventory_Simulation!F35,(models_tbl10[Stratum]&amp;models_tbl10[Species]),0)),""),"")</f>
        <v>10</v>
      </c>
      <c r="H35" s="350">
        <f ca="1">IF(D35&lt;&gt;"",VLOOKUP(Inventory_Simulation!Q35,inventory_data_tbl[],7,FALSE),"")</f>
        <v>5</v>
      </c>
      <c r="I35" s="3">
        <f t="shared" ca="1" si="6"/>
        <v>0</v>
      </c>
      <c r="J35" s="33" t="str">
        <f ca="1">IF(D35&lt;&gt;"",IF(ISERROR(VLOOKUP(P35,All_Models!B:G,6,FALSE)),"",VLOOKUP(P35,All_Models!B:G,6,FALSE)),"")</f>
        <v/>
      </c>
      <c r="K35" s="408" t="e">
        <f t="shared" ca="1" si="7"/>
        <v>#VALUE!</v>
      </c>
      <c r="L35" s="408">
        <f ca="1">IF(D35&lt;&gt;"",(44/12)*Species!$I$18*Species!$I$21*'General Data'!$J$19*Species!$I$20,"")</f>
        <v>25.85</v>
      </c>
      <c r="M35" s="408" t="e">
        <f ca="1">IF(B35&lt;&gt;"",(VLOOKUP(D35,strata_tbl[],6,FALSE))*K35,"")</f>
        <v>#VALUE!</v>
      </c>
      <c r="N35" s="408" t="e">
        <f ca="1">IF(D35&lt;&gt;"",(VLOOKUP(D35,strata_tbl[],7,FALSE)*K35),"")</f>
        <v>#VALUE!</v>
      </c>
      <c r="O35" s="408">
        <f t="array" aca="1" ref="O35" ca="1">IF(D35&lt;&gt;"",SUM(IF(ISERROR(K35:N35),"",K35:N35)),"")</f>
        <v>25.85</v>
      </c>
      <c r="P35" s="221" t="str">
        <f t="shared" ca="1" si="8"/>
        <v>Private forest-Andira retusa-0</v>
      </c>
      <c r="Q35" s="221" t="str">
        <f t="shared" ca="1" si="9"/>
        <v>Private forest-Andira retusa</v>
      </c>
      <c r="R35" s="221" t="str">
        <f t="shared" ca="1" si="10"/>
        <v>Private forest-Andira retusa-5</v>
      </c>
      <c r="S35" s="409">
        <f ca="1">IF(B35&lt;&gt;"",VLOOKUP(F35,species_tbl[],4,FALSE),"")</f>
        <v>3.4</v>
      </c>
      <c r="T35" s="409">
        <f ca="1">IF(B35&lt;&gt;"",VLOOKUP(F35,species_tbl[],2,FALSE),"")</f>
        <v>0.67</v>
      </c>
      <c r="U35" s="221" t="e">
        <f t="shared" ca="1" si="11"/>
        <v>#VALUE!</v>
      </c>
      <c r="V35" s="221" t="e">
        <f t="shared" ca="1" si="12"/>
        <v>#VALUE!</v>
      </c>
      <c r="W35" s="409">
        <f ca="1">IF(B35&lt;&gt;"",VLOOKUP(F35,species_tbl[],3,FALSE),"")</f>
        <v>0.47</v>
      </c>
      <c r="X35" s="409">
        <f ca="1">E35/(SUM(Models!$G$16:$G$16))</f>
        <v>1</v>
      </c>
      <c r="AG35" s="78">
        <f t="shared" si="13"/>
        <v>25</v>
      </c>
      <c r="AH35" s="78">
        <f>ROUNDDOWN((AG36)/Inventory_data!$AL$17,0)</f>
        <v>8</v>
      </c>
      <c r="AI35" s="78">
        <f>ROUNDDOWN((AG36)/Strata!$P$15,0)</f>
        <v>8</v>
      </c>
    </row>
    <row r="36" spans="2:35" x14ac:dyDescent="0.25">
      <c r="B36" s="350">
        <f ca="1">IF(ISERROR(Simulation_assumptions!$D$19),"",IF(ROW(D36)&gt;Inventory_data!$AL$17*Simulation_assumptions!$D$19+10,"",OFFSET(Simulation_assumptions!$K$7,AH36,0)))</f>
        <v>0</v>
      </c>
      <c r="C36" s="350">
        <f ca="1">IF(ISERROR(Simulation_assumptions!$D$19),"",IF(ROW(C36)&gt;Inventory_data!$AL$17*Simulation_assumptions!$D$19+10,"",OFFSET(Inventory_data!$C$19,ROW(C36)-10-Inventory_data!$AL$17*INT((ROW(C36)-11)/Inventory_data!$AL$17),0,1,1)))</f>
        <v>2015</v>
      </c>
      <c r="D36" s="350" t="str">
        <f ca="1">IF(ISERROR(Simulation_assumptions!$D$19),"",IF(ROW(D36)&gt;Inventory_data!$AL$17*Simulation_assumptions!$D$19+10,"",OFFSET(Inventory_data!$D$19,ROW(D36)-10-Inventory_data!$AL$17*INT((ROW(D36)-11)/Inventory_data!$AL$17),0,1,1)))</f>
        <v>Industrial Forest</v>
      </c>
      <c r="E36" s="350">
        <f ca="1">IF(D36&lt;&gt;"",VLOOKUP(D36,strata_tbl[],2,FALSE),"")</f>
        <v>100</v>
      </c>
      <c r="F36" s="350" t="str">
        <f ca="1">IF(ISERROR(Simulation_assumptions!$D$19),"",IF(ROW(D36)&gt;Inventory_data!$AL$17*Simulation_assumptions!$D$19+10,"",OFFSET(Inventory_data!$D$19,ROW(F36)-10-Inventory_data!$AL$17*INT((ROW(F36)-11)/Inventory_data!$AL$17),1,1,1)))</f>
        <v>Andira parviflora</v>
      </c>
      <c r="G36" s="350" t="str">
        <f t="array" aca="1" ref="G36" ca="1">IF(B36&lt;&gt;"",IFERROR(INDEX(models_tbl10[Rotation period],MATCH(Inventory_Simulation!D36&amp;Inventory_Simulation!F36,(models_tbl10[Stratum]&amp;models_tbl10[Species]),0)),""),"")</f>
        <v/>
      </c>
      <c r="H36" s="350">
        <f ca="1">IF(D36&lt;&gt;"",VLOOKUP(Inventory_Simulation!Q36,inventory_data_tbl[],7,FALSE),"")</f>
        <v>8</v>
      </c>
      <c r="I36" s="3">
        <f t="shared" ca="1" si="6"/>
        <v>8</v>
      </c>
      <c r="J36" s="33">
        <f ca="1">IF(D36&lt;&gt;"",IF(ISERROR(VLOOKUP(P36,All_Models!B:G,6,FALSE)),"",VLOOKUP(P36,All_Models!B:G,6,FALSE)),"")</f>
        <v>45</v>
      </c>
      <c r="K36" s="408">
        <f t="shared" ca="1" si="7"/>
        <v>225.39822059265435</v>
      </c>
      <c r="L36" s="408">
        <f ca="1">IF(D36&lt;&gt;"",(44/12)*Species!$I$18*Species!$I$21*'General Data'!$J$19*Species!$I$20,"")</f>
        <v>25.85</v>
      </c>
      <c r="M36" s="408">
        <f ca="1">IF(B36&lt;&gt;"",(VLOOKUP(D36,strata_tbl[],6,FALSE))*K36,"")</f>
        <v>2.2539822059265435</v>
      </c>
      <c r="N36" s="408">
        <f ca="1">IF(D36&lt;&gt;"",(VLOOKUP(D36,strata_tbl[],7,FALSE)*K36),"")</f>
        <v>2.2539822059265435</v>
      </c>
      <c r="O36" s="408">
        <f t="array" aca="1" ref="O36" ca="1">IF(D36&lt;&gt;"",SUM(IF(ISERROR(K36:N36),"",K36:N36)),"")</f>
        <v>255.75618500450744</v>
      </c>
      <c r="P36" s="221" t="str">
        <f t="shared" ca="1" si="8"/>
        <v>Industrial Forest-Andira parviflora-8</v>
      </c>
      <c r="Q36" s="221" t="str">
        <f t="shared" ca="1" si="9"/>
        <v>Industrial Forest-Andira parviflora</v>
      </c>
      <c r="R36" s="221" t="str">
        <f t="shared" ca="1" si="10"/>
        <v>Industrial Forest-Andira parviflora-8</v>
      </c>
      <c r="S36" s="409">
        <f ca="1">IF(B36&lt;&gt;"",VLOOKUP(F36,species_tbl[],4,FALSE),"")</f>
        <v>3.4</v>
      </c>
      <c r="T36" s="409">
        <f ca="1">IF(B36&lt;&gt;"",VLOOKUP(F36,species_tbl[],2,FALSE),"")</f>
        <v>0.69</v>
      </c>
      <c r="U36" s="221">
        <f t="shared" ca="1" si="11"/>
        <v>105.56999999999998</v>
      </c>
      <c r="V36" s="221">
        <f t="shared" ca="1" si="12"/>
        <v>0.23891260976008338</v>
      </c>
      <c r="W36" s="409">
        <f ca="1">IF(B36&lt;&gt;"",VLOOKUP(F36,species_tbl[],3,FALSE),"")</f>
        <v>0.47</v>
      </c>
      <c r="X36" s="409">
        <f ca="1">E36/(SUM(Models!$G$16:$G$16))</f>
        <v>0.5</v>
      </c>
      <c r="AG36" s="78">
        <f t="shared" si="13"/>
        <v>26</v>
      </c>
      <c r="AH36" s="78">
        <f>ROUNDDOWN((AG37)/Inventory_data!$AL$17,0)</f>
        <v>9</v>
      </c>
      <c r="AI36" s="78">
        <f>ROUNDDOWN((AG37)/Strata!$P$15,0)</f>
        <v>9</v>
      </c>
    </row>
    <row r="37" spans="2:35" x14ac:dyDescent="0.25">
      <c r="B37" s="350">
        <f ca="1">IF(ISERROR(Simulation_assumptions!$D$19),"",IF(ROW(D37)&gt;Inventory_data!$AL$17*Simulation_assumptions!$D$19+10,"",OFFSET(Simulation_assumptions!$K$7,AH37,0)))</f>
        <v>0</v>
      </c>
      <c r="C37" s="350">
        <f ca="1">IF(ISERROR(Simulation_assumptions!$D$19),"",IF(ROW(C37)&gt;Inventory_data!$AL$17*Simulation_assumptions!$D$19+10,"",OFFSET(Inventory_data!$C$19,ROW(C37)-10-Inventory_data!$AL$17*INT((ROW(C37)-11)/Inventory_data!$AL$17),0,1,1)))</f>
        <v>2015</v>
      </c>
      <c r="D37" s="350" t="str">
        <f ca="1">IF(ISERROR(Simulation_assumptions!$D$19),"",IF(ROW(D37)&gt;Inventory_data!$AL$17*Simulation_assumptions!$D$19+10,"",OFFSET(Inventory_data!$D$19,ROW(D37)-10-Inventory_data!$AL$17*INT((ROW(D37)-11)/Inventory_data!$AL$17),0,1,1)))</f>
        <v>Plantation forest</v>
      </c>
      <c r="E37" s="350">
        <f ca="1">IF(D37&lt;&gt;"",VLOOKUP(D37,strata_tbl[],2,FALSE),"")</f>
        <v>200</v>
      </c>
      <c r="F37" s="350" t="str">
        <f ca="1">IF(ISERROR(Simulation_assumptions!$D$19),"",IF(ROW(D37)&gt;Inventory_data!$AL$17*Simulation_assumptions!$D$19+10,"",OFFSET(Inventory_data!$D$19,ROW(F37)-10-Inventory_data!$AL$17*INT((ROW(F37)-11)/Inventory_data!$AL$17),1,1,1)))</f>
        <v>Aniba amazonica</v>
      </c>
      <c r="G37" s="350" t="str">
        <f t="array" aca="1" ref="G37" ca="1">IF(B37&lt;&gt;"",IFERROR(INDEX(models_tbl10[Rotation period],MATCH(Inventory_Simulation!D37&amp;Inventory_Simulation!F37,(models_tbl10[Stratum]&amp;models_tbl10[Species]),0)),""),"")</f>
        <v/>
      </c>
      <c r="H37" s="350">
        <f ca="1">IF(D37&lt;&gt;"",VLOOKUP(Inventory_Simulation!Q37,inventory_data_tbl[],7,FALSE),"")</f>
        <v>20</v>
      </c>
      <c r="I37" s="3">
        <f t="shared" ca="1" si="6"/>
        <v>20</v>
      </c>
      <c r="J37" s="33" t="str">
        <f ca="1">IF(D37&lt;&gt;"",IF(ISERROR(VLOOKUP(P37,All_Models!B:G,6,FALSE)),"",VLOOKUP(P37,All_Models!B:G,6,FALSE)),"")</f>
        <v/>
      </c>
      <c r="K37" s="408" t="e">
        <f t="shared" ca="1" si="7"/>
        <v>#VALUE!</v>
      </c>
      <c r="L37" s="408">
        <f ca="1">IF(D37&lt;&gt;"",(44/12)*Species!$I$18*Species!$I$21*'General Data'!$J$19*Species!$I$20,"")</f>
        <v>25.85</v>
      </c>
      <c r="M37" s="408" t="e">
        <f ca="1">IF(B37&lt;&gt;"",(VLOOKUP(D37,strata_tbl[],6,FALSE))*K37,"")</f>
        <v>#VALUE!</v>
      </c>
      <c r="N37" s="408" t="e">
        <f ca="1">IF(D37&lt;&gt;"",(VLOOKUP(D37,strata_tbl[],7,FALSE)*K37),"")</f>
        <v>#VALUE!</v>
      </c>
      <c r="O37" s="408">
        <f t="array" aca="1" ref="O37" ca="1">IF(D37&lt;&gt;"",SUM(IF(ISERROR(K37:N37),"",K37:N37)),"")</f>
        <v>25.85</v>
      </c>
      <c r="P37" s="221" t="str">
        <f t="shared" ca="1" si="8"/>
        <v>Plantation forest-Aniba amazonica-20</v>
      </c>
      <c r="Q37" s="221" t="str">
        <f t="shared" ca="1" si="9"/>
        <v>Plantation forest-Aniba amazonica</v>
      </c>
      <c r="R37" s="221" t="str">
        <f t="shared" ca="1" si="10"/>
        <v>Plantation forest-Aniba amazonica-20</v>
      </c>
      <c r="S37" s="409">
        <f ca="1">IF(B37&lt;&gt;"",VLOOKUP(F37,species_tbl[],4,FALSE),"")</f>
        <v>3.4</v>
      </c>
      <c r="T37" s="409">
        <f ca="1">IF(B37&lt;&gt;"",VLOOKUP(F37,species_tbl[],2,FALSE),"")</f>
        <v>0.56000000000000005</v>
      </c>
      <c r="U37" s="221" t="e">
        <f t="shared" ca="1" si="11"/>
        <v>#VALUE!</v>
      </c>
      <c r="V37" s="221" t="e">
        <f t="shared" ca="1" si="12"/>
        <v>#VALUE!</v>
      </c>
      <c r="W37" s="409">
        <f ca="1">IF(B37&lt;&gt;"",VLOOKUP(F37,species_tbl[],3,FALSE),"")</f>
        <v>0.47</v>
      </c>
      <c r="X37" s="409">
        <f ca="1">E37/(SUM(Models!$G$16:$G$16))</f>
        <v>1</v>
      </c>
      <c r="AG37" s="78">
        <f t="shared" si="13"/>
        <v>27</v>
      </c>
      <c r="AH37" s="78">
        <f>ROUNDDOWN((AG38)/Inventory_data!$AL$17,0)</f>
        <v>9</v>
      </c>
      <c r="AI37" s="78">
        <f>ROUNDDOWN((AG38)/Strata!$P$15,0)</f>
        <v>9</v>
      </c>
    </row>
    <row r="38" spans="2:35" x14ac:dyDescent="0.25">
      <c r="AG38" s="78">
        <f t="shared" si="13"/>
        <v>28</v>
      </c>
      <c r="AH38" s="78">
        <f>ROUNDDOWN((AG39)/Inventory_data!$AL$17,0)</f>
        <v>9</v>
      </c>
      <c r="AI38" s="78">
        <f>ROUNDDOWN((AG39)/Strata!$P$15,0)</f>
        <v>9</v>
      </c>
    </row>
    <row r="39" spans="2:35" x14ac:dyDescent="0.25">
      <c r="AG39" s="78">
        <f t="shared" si="13"/>
        <v>29</v>
      </c>
      <c r="AH39" s="78">
        <f>ROUNDDOWN((AG40)/Inventory_data!$AL$17,0)</f>
        <v>0</v>
      </c>
      <c r="AI39" s="78">
        <f>ROUNDDOWN((AG40)/Strata!$P$15,0)</f>
        <v>0</v>
      </c>
    </row>
    <row r="40" spans="2:35" x14ac:dyDescent="0.25">
      <c r="AG40"/>
      <c r="AH40"/>
      <c r="AI40"/>
    </row>
    <row r="41" spans="2:35" x14ac:dyDescent="0.25">
      <c r="AG41"/>
      <c r="AH41"/>
      <c r="AI41"/>
    </row>
    <row r="42" spans="2:35" x14ac:dyDescent="0.25">
      <c r="AG42"/>
      <c r="AH42"/>
      <c r="AI42"/>
    </row>
    <row r="43" spans="2:35" x14ac:dyDescent="0.25">
      <c r="AG43"/>
      <c r="AH43"/>
      <c r="AI43"/>
    </row>
    <row r="44" spans="2:35" x14ac:dyDescent="0.25">
      <c r="AG44"/>
      <c r="AH44"/>
      <c r="AI44"/>
    </row>
    <row r="45" spans="2:35" x14ac:dyDescent="0.25">
      <c r="AG45"/>
      <c r="AH45"/>
      <c r="AI45"/>
    </row>
    <row r="46" spans="2:35" x14ac:dyDescent="0.25">
      <c r="AG46"/>
      <c r="AH46"/>
      <c r="AI46"/>
    </row>
    <row r="47" spans="2:35" x14ac:dyDescent="0.25">
      <c r="AG47"/>
      <c r="AH47"/>
      <c r="AI47"/>
    </row>
    <row r="48" spans="2:35" x14ac:dyDescent="0.25">
      <c r="AG48"/>
      <c r="AH48"/>
      <c r="AI48"/>
    </row>
    <row r="49" spans="33:35" x14ac:dyDescent="0.25">
      <c r="AG49"/>
      <c r="AH49"/>
      <c r="AI49"/>
    </row>
    <row r="50" spans="33:35" x14ac:dyDescent="0.25">
      <c r="AG50"/>
      <c r="AH50"/>
      <c r="AI50"/>
    </row>
    <row r="51" spans="33:35" x14ac:dyDescent="0.25">
      <c r="AG51"/>
      <c r="AH51"/>
      <c r="AI51"/>
    </row>
    <row r="52" spans="33:35" x14ac:dyDescent="0.25">
      <c r="AG52"/>
      <c r="AH52"/>
      <c r="AI52"/>
    </row>
    <row r="53" spans="33:35" x14ac:dyDescent="0.25">
      <c r="AG53"/>
      <c r="AH53"/>
      <c r="AI53"/>
    </row>
    <row r="54" spans="33:35" x14ac:dyDescent="0.25">
      <c r="AG54"/>
      <c r="AH54"/>
      <c r="AI54"/>
    </row>
    <row r="55" spans="33:35" x14ac:dyDescent="0.25">
      <c r="AG55"/>
      <c r="AH55"/>
      <c r="AI55"/>
    </row>
    <row r="56" spans="33:35" x14ac:dyDescent="0.25">
      <c r="AG56"/>
      <c r="AH56"/>
      <c r="AI56"/>
    </row>
    <row r="57" spans="33:35" x14ac:dyDescent="0.25">
      <c r="AG57"/>
      <c r="AH57"/>
      <c r="AI57"/>
    </row>
    <row r="58" spans="33:35" x14ac:dyDescent="0.25">
      <c r="AG58"/>
      <c r="AH58"/>
      <c r="AI58"/>
    </row>
    <row r="59" spans="33:35" x14ac:dyDescent="0.25">
      <c r="AG59"/>
      <c r="AH59"/>
      <c r="AI59"/>
    </row>
    <row r="60" spans="33:35" x14ac:dyDescent="0.25">
      <c r="AG60"/>
      <c r="AH60"/>
      <c r="AI60"/>
    </row>
    <row r="61" spans="33:35" x14ac:dyDescent="0.25">
      <c r="AG61"/>
      <c r="AH61"/>
      <c r="AI61"/>
    </row>
    <row r="62" spans="33:35" x14ac:dyDescent="0.25">
      <c r="AG62"/>
      <c r="AH62"/>
      <c r="AI62"/>
    </row>
    <row r="63" spans="33:35" x14ac:dyDescent="0.25">
      <c r="AG63"/>
      <c r="AH63"/>
      <c r="AI63"/>
    </row>
    <row r="64" spans="33:35" x14ac:dyDescent="0.25">
      <c r="AG64"/>
      <c r="AH64"/>
      <c r="AI64"/>
    </row>
    <row r="65" spans="33:35" x14ac:dyDescent="0.25">
      <c r="AG65"/>
      <c r="AH65"/>
      <c r="AI65"/>
    </row>
    <row r="66" spans="33:35" x14ac:dyDescent="0.25">
      <c r="AG66"/>
      <c r="AH66"/>
      <c r="AI66"/>
    </row>
    <row r="67" spans="33:35" x14ac:dyDescent="0.25">
      <c r="AG67"/>
      <c r="AH67"/>
      <c r="AI67"/>
    </row>
    <row r="68" spans="33:35" x14ac:dyDescent="0.25">
      <c r="AG68"/>
      <c r="AH68"/>
      <c r="AI68"/>
    </row>
    <row r="69" spans="33:35" x14ac:dyDescent="0.25">
      <c r="AG69"/>
      <c r="AH69"/>
      <c r="AI69"/>
    </row>
    <row r="70" spans="33:35" x14ac:dyDescent="0.25">
      <c r="AG70"/>
      <c r="AH70"/>
      <c r="AI70"/>
    </row>
    <row r="71" spans="33:35" x14ac:dyDescent="0.25">
      <c r="AG71"/>
      <c r="AH71"/>
      <c r="AI71"/>
    </row>
    <row r="72" spans="33:35" x14ac:dyDescent="0.25">
      <c r="AG72"/>
      <c r="AH72"/>
      <c r="AI72"/>
    </row>
    <row r="73" spans="33:35" x14ac:dyDescent="0.25">
      <c r="AG73"/>
      <c r="AH73"/>
      <c r="AI73"/>
    </row>
    <row r="74" spans="33:35" x14ac:dyDescent="0.25">
      <c r="AG74"/>
      <c r="AH74"/>
      <c r="AI74"/>
    </row>
    <row r="75" spans="33:35" x14ac:dyDescent="0.25">
      <c r="AG75"/>
      <c r="AH75"/>
      <c r="AI75"/>
    </row>
    <row r="76" spans="33:35" x14ac:dyDescent="0.25">
      <c r="AG76"/>
      <c r="AH76"/>
      <c r="AI76"/>
    </row>
    <row r="77" spans="33:35" x14ac:dyDescent="0.25">
      <c r="AG77"/>
      <c r="AH77"/>
      <c r="AI77"/>
    </row>
    <row r="78" spans="33:35" x14ac:dyDescent="0.25">
      <c r="AG78"/>
      <c r="AH78"/>
      <c r="AI78"/>
    </row>
    <row r="79" spans="33:35" x14ac:dyDescent="0.25">
      <c r="AG79"/>
      <c r="AH79"/>
      <c r="AI79"/>
    </row>
    <row r="80" spans="33:35" x14ac:dyDescent="0.25">
      <c r="AG80"/>
      <c r="AH80"/>
      <c r="AI80"/>
    </row>
    <row r="81" spans="33:35" x14ac:dyDescent="0.25">
      <c r="AG81"/>
      <c r="AH81"/>
      <c r="AI81"/>
    </row>
    <row r="82" spans="33:35" x14ac:dyDescent="0.25">
      <c r="AG82"/>
      <c r="AH82"/>
      <c r="AI82"/>
    </row>
    <row r="83" spans="33:35" x14ac:dyDescent="0.25">
      <c r="AG83"/>
      <c r="AH83"/>
      <c r="AI83"/>
    </row>
    <row r="84" spans="33:35" x14ac:dyDescent="0.25">
      <c r="AG84"/>
      <c r="AH84"/>
      <c r="AI84"/>
    </row>
    <row r="85" spans="33:35" x14ac:dyDescent="0.25">
      <c r="AG85"/>
      <c r="AH85"/>
      <c r="AI85"/>
    </row>
    <row r="86" spans="33:35" x14ac:dyDescent="0.25">
      <c r="AG86"/>
      <c r="AH86"/>
      <c r="AI86"/>
    </row>
    <row r="87" spans="33:35" ht="15" customHeight="1" x14ac:dyDescent="0.25">
      <c r="AG87"/>
      <c r="AH87"/>
      <c r="AI87"/>
    </row>
    <row r="88" spans="33:35" x14ac:dyDescent="0.25">
      <c r="AG88"/>
      <c r="AH88"/>
      <c r="AI88"/>
    </row>
    <row r="89" spans="33:35" x14ac:dyDescent="0.25">
      <c r="AG89"/>
      <c r="AH89"/>
      <c r="AI89"/>
    </row>
    <row r="90" spans="33:35" ht="13.5" customHeight="1" x14ac:dyDescent="0.25">
      <c r="AG90"/>
      <c r="AH90"/>
      <c r="AI90"/>
    </row>
    <row r="91" spans="33:35" x14ac:dyDescent="0.25">
      <c r="AG91"/>
      <c r="AH91"/>
      <c r="AI91"/>
    </row>
    <row r="92" spans="33:35" ht="12" customHeight="1" x14ac:dyDescent="0.25">
      <c r="AG92"/>
      <c r="AH92"/>
      <c r="AI92"/>
    </row>
    <row r="93" spans="33:35" ht="15" customHeight="1" x14ac:dyDescent="0.25">
      <c r="AG93"/>
      <c r="AH93"/>
      <c r="AI93"/>
    </row>
    <row r="94" spans="33:35" ht="14.25" customHeight="1" x14ac:dyDescent="0.25">
      <c r="AG94"/>
      <c r="AH94"/>
      <c r="AI94"/>
    </row>
    <row r="95" spans="33:35" ht="0.75" customHeight="1" x14ac:dyDescent="0.25">
      <c r="AG95"/>
      <c r="AH95"/>
      <c r="AI95"/>
    </row>
    <row r="96" spans="33:35" ht="12" customHeight="1" x14ac:dyDescent="0.25">
      <c r="AG96"/>
      <c r="AH96"/>
      <c r="AI96"/>
    </row>
    <row r="97" spans="33:35" x14ac:dyDescent="0.25">
      <c r="AG97"/>
      <c r="AH97"/>
      <c r="AI97"/>
    </row>
    <row r="98" spans="33:35" ht="0.75" customHeight="1" x14ac:dyDescent="0.25">
      <c r="AG98"/>
      <c r="AH98"/>
      <c r="AI98"/>
    </row>
    <row r="99" spans="33:35" x14ac:dyDescent="0.25">
      <c r="AG99"/>
      <c r="AH99"/>
      <c r="AI99"/>
    </row>
    <row r="100" spans="33:35" x14ac:dyDescent="0.25">
      <c r="AG100"/>
      <c r="AH100"/>
      <c r="AI100"/>
    </row>
    <row r="101" spans="33:35" x14ac:dyDescent="0.25">
      <c r="AG101"/>
      <c r="AH101"/>
      <c r="AI101"/>
    </row>
    <row r="102" spans="33:35" x14ac:dyDescent="0.25">
      <c r="AG102"/>
      <c r="AH102"/>
      <c r="AI102"/>
    </row>
    <row r="103" spans="33:35" x14ac:dyDescent="0.25">
      <c r="AG103"/>
      <c r="AH103"/>
      <c r="AI103"/>
    </row>
    <row r="104" spans="33:35" x14ac:dyDescent="0.25">
      <c r="AG104"/>
      <c r="AH104"/>
      <c r="AI104"/>
    </row>
    <row r="105" spans="33:35" x14ac:dyDescent="0.25">
      <c r="AG105"/>
      <c r="AH105"/>
      <c r="AI105"/>
    </row>
    <row r="106" spans="33:35" x14ac:dyDescent="0.25">
      <c r="AG106"/>
      <c r="AH106"/>
      <c r="AI106"/>
    </row>
    <row r="107" spans="33:35" x14ac:dyDescent="0.25">
      <c r="AG107"/>
      <c r="AH107"/>
      <c r="AI107"/>
    </row>
    <row r="108" spans="33:35" x14ac:dyDescent="0.25">
      <c r="AG108"/>
      <c r="AH108"/>
      <c r="AI108"/>
    </row>
    <row r="109" spans="33:35" x14ac:dyDescent="0.25">
      <c r="AG109"/>
      <c r="AH109"/>
      <c r="AI109"/>
    </row>
    <row r="110" spans="33:35" x14ac:dyDescent="0.25">
      <c r="AG110"/>
      <c r="AH110"/>
      <c r="AI110"/>
    </row>
    <row r="111" spans="33:35" x14ac:dyDescent="0.25">
      <c r="AG111"/>
      <c r="AH111"/>
      <c r="AI111"/>
    </row>
    <row r="112" spans="33:35" x14ac:dyDescent="0.25">
      <c r="AG112"/>
      <c r="AH112"/>
      <c r="AI112"/>
    </row>
    <row r="113" spans="33:35" x14ac:dyDescent="0.25">
      <c r="AG113"/>
      <c r="AH113"/>
      <c r="AI113"/>
    </row>
    <row r="114" spans="33:35" x14ac:dyDescent="0.25">
      <c r="AG114"/>
      <c r="AH114"/>
      <c r="AI114"/>
    </row>
    <row r="115" spans="33:35" x14ac:dyDescent="0.25">
      <c r="AG115"/>
      <c r="AH115"/>
      <c r="AI115"/>
    </row>
    <row r="116" spans="33:35" x14ac:dyDescent="0.25">
      <c r="AG116"/>
      <c r="AH116"/>
      <c r="AI116"/>
    </row>
    <row r="117" spans="33:35" x14ac:dyDescent="0.25">
      <c r="AG117"/>
      <c r="AH117"/>
      <c r="AI117"/>
    </row>
    <row r="118" spans="33:35" x14ac:dyDescent="0.25">
      <c r="AG118"/>
      <c r="AH118"/>
      <c r="AI118"/>
    </row>
    <row r="119" spans="33:35" x14ac:dyDescent="0.25">
      <c r="AG119"/>
      <c r="AH119"/>
      <c r="AI119"/>
    </row>
    <row r="120" spans="33:35" x14ac:dyDescent="0.25">
      <c r="AG120"/>
      <c r="AH120"/>
      <c r="AI120"/>
    </row>
    <row r="121" spans="33:35" x14ac:dyDescent="0.25">
      <c r="AG121"/>
      <c r="AH121"/>
      <c r="AI121"/>
    </row>
    <row r="122" spans="33:35" x14ac:dyDescent="0.25">
      <c r="AG122"/>
      <c r="AH122"/>
      <c r="AI122"/>
    </row>
    <row r="123" spans="33:35" x14ac:dyDescent="0.25">
      <c r="AG123"/>
      <c r="AH123"/>
      <c r="AI123"/>
    </row>
    <row r="124" spans="33:35" x14ac:dyDescent="0.25">
      <c r="AG124"/>
      <c r="AH124"/>
      <c r="AI124"/>
    </row>
    <row r="125" spans="33:35" x14ac:dyDescent="0.25">
      <c r="AG125"/>
      <c r="AH125"/>
      <c r="AI125"/>
    </row>
    <row r="126" spans="33:35" x14ac:dyDescent="0.25">
      <c r="AG126"/>
      <c r="AH126"/>
      <c r="AI126"/>
    </row>
    <row r="127" spans="33:35" x14ac:dyDescent="0.25">
      <c r="AG127"/>
      <c r="AH127"/>
      <c r="AI127"/>
    </row>
    <row r="128" spans="33:35" x14ac:dyDescent="0.25">
      <c r="AG128"/>
      <c r="AH128"/>
      <c r="AI128"/>
    </row>
    <row r="129" spans="33:35" x14ac:dyDescent="0.25">
      <c r="AG129"/>
      <c r="AH129"/>
      <c r="AI129"/>
    </row>
    <row r="130" spans="33:35" x14ac:dyDescent="0.25">
      <c r="AG130"/>
      <c r="AH130"/>
      <c r="AI130"/>
    </row>
    <row r="131" spans="33:35" x14ac:dyDescent="0.25">
      <c r="AG131"/>
      <c r="AH131"/>
      <c r="AI131"/>
    </row>
    <row r="132" spans="33:35" x14ac:dyDescent="0.25">
      <c r="AG132"/>
      <c r="AH132"/>
      <c r="AI132"/>
    </row>
    <row r="133" spans="33:35" x14ac:dyDescent="0.25">
      <c r="AG133"/>
      <c r="AH133"/>
      <c r="AI133"/>
    </row>
    <row r="134" spans="33:35" x14ac:dyDescent="0.25">
      <c r="AG134"/>
      <c r="AH134"/>
      <c r="AI134"/>
    </row>
    <row r="135" spans="33:35" x14ac:dyDescent="0.25">
      <c r="AG135"/>
      <c r="AH135"/>
      <c r="AI135"/>
    </row>
    <row r="136" spans="33:35" x14ac:dyDescent="0.25">
      <c r="AG136"/>
      <c r="AH136"/>
      <c r="AI136"/>
    </row>
    <row r="137" spans="33:35" x14ac:dyDescent="0.25">
      <c r="AG137"/>
      <c r="AH137"/>
      <c r="AI137"/>
    </row>
    <row r="138" spans="33:35" ht="13.5" customHeight="1" x14ac:dyDescent="0.25">
      <c r="AG138"/>
      <c r="AH138"/>
      <c r="AI138"/>
    </row>
    <row r="139" spans="33:35" x14ac:dyDescent="0.25">
      <c r="AG139"/>
      <c r="AH139"/>
      <c r="AI139"/>
    </row>
    <row r="140" spans="33:35" ht="0.75" customHeight="1" x14ac:dyDescent="0.25">
      <c r="AG140"/>
      <c r="AH140"/>
      <c r="AI140"/>
    </row>
    <row r="141" spans="33:35" ht="15" customHeight="1" x14ac:dyDescent="0.25">
      <c r="AG141"/>
      <c r="AH141"/>
      <c r="AI141"/>
    </row>
    <row r="142" spans="33:35" x14ac:dyDescent="0.25">
      <c r="AG142"/>
      <c r="AH142"/>
      <c r="AI142"/>
    </row>
    <row r="143" spans="33:35" ht="15" customHeight="1" x14ac:dyDescent="0.25">
      <c r="AG143"/>
      <c r="AH143"/>
      <c r="AI143"/>
    </row>
    <row r="144" spans="33:35" x14ac:dyDescent="0.25">
      <c r="AG144"/>
      <c r="AH144"/>
      <c r="AI144"/>
    </row>
    <row r="145" spans="33:35" x14ac:dyDescent="0.25">
      <c r="AG145"/>
      <c r="AH145"/>
      <c r="AI145"/>
    </row>
    <row r="146" spans="33:35" x14ac:dyDescent="0.25">
      <c r="AG146"/>
      <c r="AH146"/>
      <c r="AI146"/>
    </row>
    <row r="147" spans="33:35" x14ac:dyDescent="0.25">
      <c r="AG147"/>
      <c r="AH147"/>
      <c r="AI147"/>
    </row>
    <row r="148" spans="33:35" x14ac:dyDescent="0.25">
      <c r="AG148"/>
      <c r="AH148"/>
      <c r="AI148"/>
    </row>
    <row r="149" spans="33:35" x14ac:dyDescent="0.25">
      <c r="AG149"/>
      <c r="AH149"/>
      <c r="AI149"/>
    </row>
    <row r="150" spans="33:35" x14ac:dyDescent="0.25">
      <c r="AG150"/>
      <c r="AH150"/>
      <c r="AI150"/>
    </row>
    <row r="151" spans="33:35" x14ac:dyDescent="0.25">
      <c r="AG151"/>
      <c r="AH151"/>
      <c r="AI151"/>
    </row>
    <row r="152" spans="33:35" x14ac:dyDescent="0.25">
      <c r="AG152"/>
      <c r="AH152"/>
      <c r="AI152"/>
    </row>
    <row r="153" spans="33:35" x14ac:dyDescent="0.25">
      <c r="AG153"/>
      <c r="AH153"/>
      <c r="AI153"/>
    </row>
    <row r="154" spans="33:35" x14ac:dyDescent="0.25">
      <c r="AG154"/>
      <c r="AH154"/>
      <c r="AI154"/>
    </row>
    <row r="155" spans="33:35" x14ac:dyDescent="0.25">
      <c r="AG155"/>
      <c r="AH155"/>
      <c r="AI155"/>
    </row>
    <row r="156" spans="33:35" x14ac:dyDescent="0.25">
      <c r="AG156"/>
      <c r="AH156"/>
      <c r="AI156"/>
    </row>
    <row r="157" spans="33:35" x14ac:dyDescent="0.25">
      <c r="AG157"/>
      <c r="AH157"/>
      <c r="AI157"/>
    </row>
    <row r="158" spans="33:35" x14ac:dyDescent="0.25">
      <c r="AG158"/>
      <c r="AH158"/>
      <c r="AI158"/>
    </row>
    <row r="159" spans="33:35" x14ac:dyDescent="0.25">
      <c r="AG159"/>
      <c r="AH159"/>
      <c r="AI159"/>
    </row>
    <row r="160" spans="33:35" x14ac:dyDescent="0.25">
      <c r="AG160"/>
      <c r="AH160"/>
      <c r="AI160"/>
    </row>
    <row r="161" spans="33:35" x14ac:dyDescent="0.25">
      <c r="AG161"/>
      <c r="AH161"/>
      <c r="AI161"/>
    </row>
    <row r="162" spans="33:35" x14ac:dyDescent="0.25">
      <c r="AG162"/>
      <c r="AH162"/>
      <c r="AI162"/>
    </row>
    <row r="163" spans="33:35" x14ac:dyDescent="0.25">
      <c r="AG163"/>
      <c r="AH163"/>
      <c r="AI163"/>
    </row>
    <row r="164" spans="33:35" x14ac:dyDescent="0.25">
      <c r="AG164"/>
      <c r="AH164"/>
      <c r="AI164"/>
    </row>
    <row r="165" spans="33:35" x14ac:dyDescent="0.25">
      <c r="AG165"/>
      <c r="AH165"/>
      <c r="AI165"/>
    </row>
    <row r="166" spans="33:35" x14ac:dyDescent="0.25">
      <c r="AG166"/>
      <c r="AH166"/>
      <c r="AI166"/>
    </row>
    <row r="167" spans="33:35" x14ac:dyDescent="0.25">
      <c r="AG167"/>
      <c r="AH167"/>
      <c r="AI167"/>
    </row>
    <row r="168" spans="33:35" x14ac:dyDescent="0.25">
      <c r="AG168"/>
      <c r="AH168"/>
      <c r="AI168"/>
    </row>
    <row r="169" spans="33:35" x14ac:dyDescent="0.25">
      <c r="AG169"/>
      <c r="AH169"/>
      <c r="AI169"/>
    </row>
    <row r="170" spans="33:35" x14ac:dyDescent="0.25">
      <c r="AG170"/>
      <c r="AH170"/>
      <c r="AI170"/>
    </row>
    <row r="171" spans="33:35" x14ac:dyDescent="0.25">
      <c r="AG171"/>
      <c r="AH171"/>
      <c r="AI171"/>
    </row>
    <row r="172" spans="33:35" x14ac:dyDescent="0.25">
      <c r="AG172"/>
      <c r="AH172"/>
      <c r="AI172"/>
    </row>
    <row r="173" spans="33:35" x14ac:dyDescent="0.25">
      <c r="AG173"/>
      <c r="AH173"/>
      <c r="AI173"/>
    </row>
    <row r="174" spans="33:35" x14ac:dyDescent="0.25">
      <c r="AG174"/>
      <c r="AH174"/>
      <c r="AI174"/>
    </row>
    <row r="175" spans="33:35" x14ac:dyDescent="0.25">
      <c r="AG175"/>
      <c r="AH175"/>
      <c r="AI175"/>
    </row>
    <row r="176" spans="33:35" x14ac:dyDescent="0.25">
      <c r="AG176"/>
      <c r="AH176"/>
      <c r="AI176"/>
    </row>
    <row r="177" spans="33:35" x14ac:dyDescent="0.25">
      <c r="AG177"/>
      <c r="AH177"/>
      <c r="AI177"/>
    </row>
    <row r="178" spans="33:35" x14ac:dyDescent="0.25">
      <c r="AG178"/>
      <c r="AH178"/>
      <c r="AI178"/>
    </row>
    <row r="179" spans="33:35" x14ac:dyDescent="0.25">
      <c r="AG179"/>
      <c r="AH179"/>
      <c r="AI179"/>
    </row>
    <row r="180" spans="33:35" x14ac:dyDescent="0.25">
      <c r="AG180"/>
      <c r="AH180"/>
      <c r="AI180"/>
    </row>
    <row r="181" spans="33:35" x14ac:dyDescent="0.25">
      <c r="AG181"/>
      <c r="AH181"/>
      <c r="AI181"/>
    </row>
    <row r="182" spans="33:35" x14ac:dyDescent="0.25">
      <c r="AG182"/>
      <c r="AH182"/>
      <c r="AI182"/>
    </row>
    <row r="183" spans="33:35" x14ac:dyDescent="0.25">
      <c r="AG183"/>
      <c r="AH183"/>
      <c r="AI183"/>
    </row>
    <row r="184" spans="33:35" x14ac:dyDescent="0.25">
      <c r="AG184"/>
      <c r="AH184"/>
      <c r="AI184"/>
    </row>
    <row r="185" spans="33:35" x14ac:dyDescent="0.25">
      <c r="AG185"/>
      <c r="AH185"/>
      <c r="AI185"/>
    </row>
    <row r="186" spans="33:35" x14ac:dyDescent="0.25">
      <c r="AG186"/>
      <c r="AH186"/>
      <c r="AI186"/>
    </row>
    <row r="187" spans="33:35" x14ac:dyDescent="0.25">
      <c r="AG187"/>
      <c r="AH187"/>
      <c r="AI187"/>
    </row>
    <row r="188" spans="33:35" x14ac:dyDescent="0.25">
      <c r="AG188"/>
      <c r="AH188"/>
      <c r="AI188"/>
    </row>
    <row r="189" spans="33:35" x14ac:dyDescent="0.25">
      <c r="AG189"/>
      <c r="AH189"/>
      <c r="AI189"/>
    </row>
    <row r="190" spans="33:35" x14ac:dyDescent="0.25">
      <c r="AG190"/>
      <c r="AH190"/>
      <c r="AI190"/>
    </row>
    <row r="191" spans="33:35" x14ac:dyDescent="0.25">
      <c r="AG191"/>
      <c r="AH191"/>
      <c r="AI191"/>
    </row>
    <row r="192" spans="33:35" x14ac:dyDescent="0.25">
      <c r="AG192"/>
      <c r="AH192"/>
      <c r="AI192"/>
    </row>
    <row r="193" spans="33:35" x14ac:dyDescent="0.25">
      <c r="AG193"/>
      <c r="AH193"/>
      <c r="AI193"/>
    </row>
    <row r="194" spans="33:35" x14ac:dyDescent="0.25">
      <c r="AG194"/>
      <c r="AH194"/>
      <c r="AI194"/>
    </row>
    <row r="195" spans="33:35" x14ac:dyDescent="0.25">
      <c r="AG195"/>
      <c r="AH195"/>
      <c r="AI195"/>
    </row>
    <row r="196" spans="33:35" x14ac:dyDescent="0.25">
      <c r="AG196"/>
      <c r="AH196"/>
      <c r="AI196"/>
    </row>
    <row r="197" spans="33:35" x14ac:dyDescent="0.25">
      <c r="AG197"/>
      <c r="AH197"/>
      <c r="AI197"/>
    </row>
    <row r="198" spans="33:35" x14ac:dyDescent="0.25">
      <c r="AG198"/>
      <c r="AH198"/>
      <c r="AI198"/>
    </row>
    <row r="199" spans="33:35" x14ac:dyDescent="0.25">
      <c r="AG199"/>
      <c r="AH199"/>
      <c r="AI199"/>
    </row>
    <row r="200" spans="33:35" x14ac:dyDescent="0.25">
      <c r="AG200"/>
      <c r="AH200"/>
      <c r="AI200"/>
    </row>
    <row r="201" spans="33:35" x14ac:dyDescent="0.25">
      <c r="AG201"/>
      <c r="AH201"/>
      <c r="AI201"/>
    </row>
    <row r="202" spans="33:35" x14ac:dyDescent="0.25">
      <c r="AG202"/>
      <c r="AH202"/>
      <c r="AI202"/>
    </row>
    <row r="203" spans="33:35" x14ac:dyDescent="0.25">
      <c r="AG203"/>
      <c r="AH203"/>
      <c r="AI203"/>
    </row>
    <row r="204" spans="33:35" x14ac:dyDescent="0.25">
      <c r="AG204"/>
      <c r="AH204"/>
      <c r="AI204"/>
    </row>
    <row r="205" spans="33:35" x14ac:dyDescent="0.25">
      <c r="AG205"/>
      <c r="AH205"/>
      <c r="AI205"/>
    </row>
    <row r="206" spans="33:35" x14ac:dyDescent="0.25">
      <c r="AG206"/>
      <c r="AH206"/>
      <c r="AI206"/>
    </row>
    <row r="207" spans="33:35" x14ac:dyDescent="0.25">
      <c r="AG207"/>
      <c r="AH207"/>
      <c r="AI207"/>
    </row>
    <row r="208" spans="33:35" x14ac:dyDescent="0.25">
      <c r="AG208"/>
      <c r="AH208"/>
      <c r="AI208"/>
    </row>
    <row r="209" spans="33:35" x14ac:dyDescent="0.25">
      <c r="AG209"/>
      <c r="AH209"/>
      <c r="AI209"/>
    </row>
    <row r="210" spans="33:35" x14ac:dyDescent="0.25">
      <c r="AG210"/>
      <c r="AH210"/>
      <c r="AI210"/>
    </row>
    <row r="211" spans="33:35" x14ac:dyDescent="0.25">
      <c r="AG211"/>
      <c r="AH211"/>
      <c r="AI211"/>
    </row>
    <row r="212" spans="33:35" x14ac:dyDescent="0.25">
      <c r="AG212"/>
      <c r="AH212"/>
      <c r="AI212"/>
    </row>
    <row r="213" spans="33:35" x14ac:dyDescent="0.25">
      <c r="AG213"/>
      <c r="AH213"/>
      <c r="AI213"/>
    </row>
    <row r="214" spans="33:35" x14ac:dyDescent="0.25">
      <c r="AG214"/>
      <c r="AH214"/>
      <c r="AI214"/>
    </row>
    <row r="215" spans="33:35" x14ac:dyDescent="0.25">
      <c r="AG215"/>
      <c r="AH215"/>
      <c r="AI215"/>
    </row>
    <row r="216" spans="33:35" x14ac:dyDescent="0.25">
      <c r="AG216"/>
      <c r="AH216"/>
      <c r="AI216"/>
    </row>
    <row r="217" spans="33:35" x14ac:dyDescent="0.25">
      <c r="AG217"/>
      <c r="AH217"/>
      <c r="AI217"/>
    </row>
    <row r="218" spans="33:35" x14ac:dyDescent="0.25">
      <c r="AG218"/>
      <c r="AH218"/>
      <c r="AI218"/>
    </row>
    <row r="219" spans="33:35" x14ac:dyDescent="0.25">
      <c r="AG219"/>
      <c r="AH219"/>
      <c r="AI219"/>
    </row>
    <row r="220" spans="33:35" x14ac:dyDescent="0.25">
      <c r="AG220"/>
      <c r="AH220"/>
      <c r="AI220"/>
    </row>
    <row r="221" spans="33:35" x14ac:dyDescent="0.25">
      <c r="AG221"/>
      <c r="AH221"/>
      <c r="AI221"/>
    </row>
    <row r="222" spans="33:35" x14ac:dyDescent="0.25">
      <c r="AG222"/>
      <c r="AH222"/>
      <c r="AI222"/>
    </row>
    <row r="223" spans="33:35" x14ac:dyDescent="0.25">
      <c r="AG223"/>
      <c r="AH223"/>
      <c r="AI223"/>
    </row>
    <row r="224" spans="33:35" x14ac:dyDescent="0.25">
      <c r="AG224"/>
      <c r="AH224"/>
      <c r="AI224"/>
    </row>
    <row r="225" spans="33:35" x14ac:dyDescent="0.25">
      <c r="AG225"/>
      <c r="AH225"/>
      <c r="AI225"/>
    </row>
    <row r="226" spans="33:35" x14ac:dyDescent="0.25">
      <c r="AG226"/>
      <c r="AH226"/>
      <c r="AI226"/>
    </row>
    <row r="227" spans="33:35" x14ac:dyDescent="0.25">
      <c r="AG227"/>
      <c r="AH227"/>
      <c r="AI227"/>
    </row>
    <row r="228" spans="33:35" x14ac:dyDescent="0.25">
      <c r="AG228"/>
      <c r="AH228"/>
      <c r="AI228"/>
    </row>
    <row r="229" spans="33:35" x14ac:dyDescent="0.25">
      <c r="AG229"/>
      <c r="AH229"/>
      <c r="AI229"/>
    </row>
    <row r="230" spans="33:35" x14ac:dyDescent="0.25">
      <c r="AG230"/>
      <c r="AH230"/>
      <c r="AI230"/>
    </row>
    <row r="231" spans="33:35" x14ac:dyDescent="0.25">
      <c r="AG231"/>
      <c r="AH231"/>
      <c r="AI231"/>
    </row>
    <row r="232" spans="33:35" x14ac:dyDescent="0.25">
      <c r="AG232"/>
      <c r="AH232"/>
      <c r="AI232"/>
    </row>
    <row r="233" spans="33:35" x14ac:dyDescent="0.25">
      <c r="AG233"/>
      <c r="AH233"/>
      <c r="AI233"/>
    </row>
    <row r="234" spans="33:35" x14ac:dyDescent="0.25">
      <c r="AG234"/>
      <c r="AH234"/>
      <c r="AI234"/>
    </row>
    <row r="235" spans="33:35" x14ac:dyDescent="0.25">
      <c r="AG235"/>
      <c r="AH235"/>
      <c r="AI235"/>
    </row>
    <row r="236" spans="33:35" x14ac:dyDescent="0.25">
      <c r="AG236"/>
      <c r="AH236"/>
      <c r="AI236"/>
    </row>
    <row r="237" spans="33:35" x14ac:dyDescent="0.25">
      <c r="AG237"/>
      <c r="AH237"/>
      <c r="AI237"/>
    </row>
    <row r="238" spans="33:35" x14ac:dyDescent="0.25">
      <c r="AG238"/>
      <c r="AH238"/>
      <c r="AI238"/>
    </row>
    <row r="239" spans="33:35" x14ac:dyDescent="0.25">
      <c r="AG239"/>
      <c r="AH239"/>
      <c r="AI239"/>
    </row>
    <row r="240" spans="33:35" x14ac:dyDescent="0.25">
      <c r="AG240"/>
      <c r="AH240"/>
      <c r="AI240"/>
    </row>
    <row r="241" spans="33:35" x14ac:dyDescent="0.25">
      <c r="AG241"/>
      <c r="AH241"/>
      <c r="AI241"/>
    </row>
    <row r="242" spans="33:35" x14ac:dyDescent="0.25">
      <c r="AG242"/>
      <c r="AH242"/>
      <c r="AI242"/>
    </row>
    <row r="243" spans="33:35" x14ac:dyDescent="0.25">
      <c r="AG243"/>
      <c r="AH243"/>
      <c r="AI243"/>
    </row>
    <row r="244" spans="33:35" x14ac:dyDescent="0.25">
      <c r="AG244"/>
      <c r="AH244"/>
      <c r="AI244"/>
    </row>
    <row r="245" spans="33:35" x14ac:dyDescent="0.25">
      <c r="AG245"/>
      <c r="AH245"/>
      <c r="AI245"/>
    </row>
    <row r="246" spans="33:35" x14ac:dyDescent="0.25">
      <c r="AG246"/>
      <c r="AH246"/>
      <c r="AI246"/>
    </row>
    <row r="247" spans="33:35" x14ac:dyDescent="0.25">
      <c r="AG247"/>
      <c r="AH247"/>
      <c r="AI247"/>
    </row>
    <row r="248" spans="33:35" x14ac:dyDescent="0.25">
      <c r="AG248"/>
      <c r="AH248"/>
      <c r="AI248"/>
    </row>
    <row r="249" spans="33:35" x14ac:dyDescent="0.25">
      <c r="AG249"/>
      <c r="AH249"/>
      <c r="AI249"/>
    </row>
    <row r="250" spans="33:35" x14ac:dyDescent="0.25">
      <c r="AG250"/>
      <c r="AH250"/>
      <c r="AI250"/>
    </row>
    <row r="251" spans="33:35" x14ac:dyDescent="0.25">
      <c r="AG251"/>
      <c r="AH251"/>
      <c r="AI251"/>
    </row>
    <row r="252" spans="33:35" x14ac:dyDescent="0.25">
      <c r="AG252"/>
      <c r="AH252"/>
      <c r="AI252"/>
    </row>
    <row r="253" spans="33:35" x14ac:dyDescent="0.25">
      <c r="AG253"/>
      <c r="AH253"/>
      <c r="AI253"/>
    </row>
    <row r="254" spans="33:35" x14ac:dyDescent="0.25">
      <c r="AG254"/>
      <c r="AH254"/>
      <c r="AI254"/>
    </row>
    <row r="255" spans="33:35" x14ac:dyDescent="0.25">
      <c r="AG255"/>
      <c r="AH255"/>
      <c r="AI255"/>
    </row>
    <row r="256" spans="33:35" x14ac:dyDescent="0.25">
      <c r="AG256"/>
      <c r="AH256"/>
      <c r="AI256"/>
    </row>
    <row r="257" spans="33:35" x14ac:dyDescent="0.25">
      <c r="AG257"/>
      <c r="AH257"/>
      <c r="AI257"/>
    </row>
    <row r="258" spans="33:35" x14ac:dyDescent="0.25">
      <c r="AG258"/>
      <c r="AH258"/>
      <c r="AI258"/>
    </row>
    <row r="259" spans="33:35" x14ac:dyDescent="0.25">
      <c r="AG259"/>
      <c r="AH259"/>
      <c r="AI259"/>
    </row>
    <row r="260" spans="33:35" x14ac:dyDescent="0.25">
      <c r="AG260"/>
      <c r="AH260"/>
      <c r="AI260"/>
    </row>
    <row r="261" spans="33:35" x14ac:dyDescent="0.25">
      <c r="AG261"/>
      <c r="AH261"/>
      <c r="AI261"/>
    </row>
    <row r="262" spans="33:35" x14ac:dyDescent="0.25">
      <c r="AG262"/>
      <c r="AH262"/>
      <c r="AI262"/>
    </row>
    <row r="263" spans="33:35" x14ac:dyDescent="0.25">
      <c r="AG263"/>
      <c r="AH263"/>
      <c r="AI263"/>
    </row>
    <row r="264" spans="33:35" x14ac:dyDescent="0.25">
      <c r="AG264"/>
      <c r="AH264"/>
      <c r="AI264"/>
    </row>
    <row r="265" spans="33:35" x14ac:dyDescent="0.25">
      <c r="AG265"/>
      <c r="AH265"/>
      <c r="AI265"/>
    </row>
    <row r="266" spans="33:35" x14ac:dyDescent="0.25">
      <c r="AG266"/>
      <c r="AH266"/>
      <c r="AI266"/>
    </row>
    <row r="267" spans="33:35" x14ac:dyDescent="0.25">
      <c r="AG267"/>
      <c r="AH267"/>
      <c r="AI267"/>
    </row>
    <row r="268" spans="33:35" x14ac:dyDescent="0.25">
      <c r="AG268"/>
      <c r="AH268"/>
      <c r="AI268"/>
    </row>
    <row r="269" spans="33:35" x14ac:dyDescent="0.25">
      <c r="AG269"/>
      <c r="AH269"/>
      <c r="AI269"/>
    </row>
    <row r="270" spans="33:35" x14ac:dyDescent="0.25">
      <c r="AG270"/>
      <c r="AH270"/>
      <c r="AI270"/>
    </row>
    <row r="271" spans="33:35" x14ac:dyDescent="0.25">
      <c r="AG271"/>
      <c r="AH271"/>
      <c r="AI271"/>
    </row>
    <row r="272" spans="33:35" x14ac:dyDescent="0.25">
      <c r="AG272"/>
      <c r="AH272"/>
      <c r="AI272"/>
    </row>
    <row r="273" spans="33:35" x14ac:dyDescent="0.25">
      <c r="AG273"/>
      <c r="AH273"/>
      <c r="AI273"/>
    </row>
    <row r="274" spans="33:35" x14ac:dyDescent="0.25">
      <c r="AG274"/>
      <c r="AH274"/>
      <c r="AI274"/>
    </row>
    <row r="275" spans="33:35" x14ac:dyDescent="0.25">
      <c r="AG275"/>
      <c r="AH275"/>
      <c r="AI275"/>
    </row>
    <row r="276" spans="33:35" x14ac:dyDescent="0.25">
      <c r="AG276"/>
      <c r="AH276"/>
      <c r="AI276"/>
    </row>
    <row r="277" spans="33:35" x14ac:dyDescent="0.25">
      <c r="AG277"/>
      <c r="AH277"/>
      <c r="AI277"/>
    </row>
    <row r="278" spans="33:35" x14ac:dyDescent="0.25">
      <c r="AG278"/>
      <c r="AH278"/>
      <c r="AI278"/>
    </row>
    <row r="279" spans="33:35" x14ac:dyDescent="0.25">
      <c r="AG279"/>
      <c r="AH279"/>
      <c r="AI279"/>
    </row>
    <row r="280" spans="33:35" x14ac:dyDescent="0.25">
      <c r="AG280"/>
      <c r="AH280"/>
      <c r="AI280"/>
    </row>
    <row r="281" spans="33:35" x14ac:dyDescent="0.25">
      <c r="AG281"/>
      <c r="AH281"/>
      <c r="AI281"/>
    </row>
    <row r="282" spans="33:35" x14ac:dyDescent="0.25">
      <c r="AG282"/>
      <c r="AH282"/>
      <c r="AI282"/>
    </row>
    <row r="283" spans="33:35" x14ac:dyDescent="0.25">
      <c r="AG283"/>
      <c r="AH283"/>
      <c r="AI283"/>
    </row>
    <row r="284" spans="33:35" x14ac:dyDescent="0.25">
      <c r="AG284"/>
      <c r="AH284"/>
      <c r="AI284"/>
    </row>
    <row r="285" spans="33:35" x14ac:dyDescent="0.25">
      <c r="AG285"/>
      <c r="AH285"/>
      <c r="AI285"/>
    </row>
    <row r="286" spans="33:35" x14ac:dyDescent="0.25">
      <c r="AG286"/>
      <c r="AH286"/>
      <c r="AI286"/>
    </row>
    <row r="287" spans="33:35" x14ac:dyDescent="0.25">
      <c r="AG287"/>
      <c r="AH287"/>
      <c r="AI287"/>
    </row>
    <row r="288" spans="33:35" x14ac:dyDescent="0.25">
      <c r="AG288"/>
      <c r="AH288"/>
      <c r="AI288"/>
    </row>
    <row r="289" spans="33:35" x14ac:dyDescent="0.25">
      <c r="AG289"/>
      <c r="AH289"/>
      <c r="AI289"/>
    </row>
    <row r="290" spans="33:35" x14ac:dyDescent="0.25">
      <c r="AG290"/>
      <c r="AH290"/>
      <c r="AI290"/>
    </row>
    <row r="291" spans="33:35" x14ac:dyDescent="0.25">
      <c r="AG291"/>
      <c r="AH291"/>
      <c r="AI291"/>
    </row>
    <row r="292" spans="33:35" x14ac:dyDescent="0.25">
      <c r="AG292"/>
      <c r="AH292"/>
      <c r="AI292"/>
    </row>
    <row r="293" spans="33:35" x14ac:dyDescent="0.25">
      <c r="AG293"/>
      <c r="AH293"/>
      <c r="AI293"/>
    </row>
    <row r="294" spans="33:35" x14ac:dyDescent="0.25">
      <c r="AG294"/>
      <c r="AH294"/>
      <c r="AI294"/>
    </row>
    <row r="295" spans="33:35" x14ac:dyDescent="0.25">
      <c r="AG295"/>
      <c r="AH295"/>
      <c r="AI295"/>
    </row>
    <row r="296" spans="33:35" x14ac:dyDescent="0.25">
      <c r="AG296"/>
      <c r="AH296"/>
      <c r="AI296"/>
    </row>
    <row r="297" spans="33:35" x14ac:dyDescent="0.25">
      <c r="AG297"/>
      <c r="AH297"/>
      <c r="AI297"/>
    </row>
    <row r="298" spans="33:35" x14ac:dyDescent="0.25">
      <c r="AG298"/>
      <c r="AH298"/>
      <c r="AI298"/>
    </row>
    <row r="299" spans="33:35" x14ac:dyDescent="0.25">
      <c r="AG299"/>
      <c r="AH299"/>
      <c r="AI299"/>
    </row>
    <row r="300" spans="33:35" x14ac:dyDescent="0.25">
      <c r="AG300"/>
      <c r="AH300"/>
      <c r="AI300"/>
    </row>
    <row r="301" spans="33:35" x14ac:dyDescent="0.25">
      <c r="AG301"/>
      <c r="AH301"/>
      <c r="AI301"/>
    </row>
    <row r="302" spans="33:35" x14ac:dyDescent="0.25">
      <c r="AG302"/>
      <c r="AH302"/>
      <c r="AI302"/>
    </row>
    <row r="303" spans="33:35" x14ac:dyDescent="0.25">
      <c r="AG303"/>
      <c r="AH303"/>
      <c r="AI303"/>
    </row>
    <row r="304" spans="33:35" x14ac:dyDescent="0.25">
      <c r="AG304"/>
      <c r="AH304"/>
      <c r="AI304"/>
    </row>
    <row r="305" spans="33:35" x14ac:dyDescent="0.25">
      <c r="AG305"/>
      <c r="AH305"/>
      <c r="AI305"/>
    </row>
    <row r="306" spans="33:35" x14ac:dyDescent="0.25">
      <c r="AG306"/>
      <c r="AH306"/>
      <c r="AI306"/>
    </row>
    <row r="307" spans="33:35" x14ac:dyDescent="0.25">
      <c r="AG307"/>
      <c r="AH307"/>
      <c r="AI307"/>
    </row>
    <row r="308" spans="33:35" x14ac:dyDescent="0.25">
      <c r="AG308"/>
      <c r="AH308"/>
      <c r="AI308"/>
    </row>
    <row r="309" spans="33:35" x14ac:dyDescent="0.25">
      <c r="AG309"/>
      <c r="AH309"/>
      <c r="AI309"/>
    </row>
    <row r="310" spans="33:35" x14ac:dyDescent="0.25">
      <c r="AG310"/>
      <c r="AH310"/>
      <c r="AI310"/>
    </row>
    <row r="311" spans="33:35" x14ac:dyDescent="0.25">
      <c r="AG311"/>
      <c r="AH311"/>
      <c r="AI311"/>
    </row>
    <row r="312" spans="33:35" x14ac:dyDescent="0.25">
      <c r="AG312"/>
      <c r="AH312"/>
      <c r="AI312"/>
    </row>
    <row r="313" spans="33:35" x14ac:dyDescent="0.25">
      <c r="AG313"/>
      <c r="AH313"/>
      <c r="AI313"/>
    </row>
    <row r="314" spans="33:35" x14ac:dyDescent="0.25">
      <c r="AG314"/>
      <c r="AH314"/>
      <c r="AI314"/>
    </row>
    <row r="315" spans="33:35" x14ac:dyDescent="0.25">
      <c r="AG315"/>
      <c r="AH315"/>
      <c r="AI315"/>
    </row>
    <row r="316" spans="33:35" x14ac:dyDescent="0.25">
      <c r="AG316"/>
      <c r="AH316"/>
      <c r="AI316"/>
    </row>
    <row r="317" spans="33:35" x14ac:dyDescent="0.25">
      <c r="AG317"/>
      <c r="AH317"/>
      <c r="AI317"/>
    </row>
    <row r="318" spans="33:35" x14ac:dyDescent="0.25">
      <c r="AG318"/>
      <c r="AH318"/>
      <c r="AI318"/>
    </row>
    <row r="319" spans="33:35" x14ac:dyDescent="0.25">
      <c r="AG319"/>
      <c r="AH319"/>
      <c r="AI319"/>
    </row>
    <row r="320" spans="33:35" x14ac:dyDescent="0.25">
      <c r="AG320"/>
      <c r="AH320"/>
      <c r="AI320"/>
    </row>
    <row r="321" spans="33:35" x14ac:dyDescent="0.25">
      <c r="AG321"/>
      <c r="AH321"/>
      <c r="AI321"/>
    </row>
    <row r="322" spans="33:35" x14ac:dyDescent="0.25">
      <c r="AG322"/>
      <c r="AH322"/>
      <c r="AI322"/>
    </row>
    <row r="323" spans="33:35" x14ac:dyDescent="0.25">
      <c r="AG323"/>
      <c r="AH323"/>
      <c r="AI323"/>
    </row>
    <row r="324" spans="33:35" x14ac:dyDescent="0.25">
      <c r="AG324"/>
      <c r="AH324"/>
      <c r="AI324"/>
    </row>
    <row r="325" spans="33:35" x14ac:dyDescent="0.25">
      <c r="AG325"/>
      <c r="AH325"/>
      <c r="AI325"/>
    </row>
    <row r="326" spans="33:35" x14ac:dyDescent="0.25">
      <c r="AG326"/>
      <c r="AH326"/>
      <c r="AI326"/>
    </row>
    <row r="327" spans="33:35" x14ac:dyDescent="0.25">
      <c r="AG327"/>
      <c r="AH327"/>
      <c r="AI327"/>
    </row>
    <row r="328" spans="33:35" x14ac:dyDescent="0.25">
      <c r="AG328"/>
      <c r="AH328"/>
      <c r="AI328"/>
    </row>
    <row r="329" spans="33:35" x14ac:dyDescent="0.25">
      <c r="AG329"/>
      <c r="AH329"/>
      <c r="AI329"/>
    </row>
    <row r="330" spans="33:35" x14ac:dyDescent="0.25">
      <c r="AG330"/>
      <c r="AH330"/>
      <c r="AI330"/>
    </row>
    <row r="331" spans="33:35" x14ac:dyDescent="0.25">
      <c r="AG331"/>
      <c r="AH331"/>
      <c r="AI331"/>
    </row>
    <row r="332" spans="33:35" x14ac:dyDescent="0.25">
      <c r="AG332"/>
      <c r="AH332"/>
      <c r="AI332"/>
    </row>
    <row r="333" spans="33:35" x14ac:dyDescent="0.25">
      <c r="AG333"/>
      <c r="AH333"/>
      <c r="AI333"/>
    </row>
    <row r="334" spans="33:35" x14ac:dyDescent="0.25">
      <c r="AG334"/>
      <c r="AH334"/>
      <c r="AI334"/>
    </row>
    <row r="335" spans="33:35" x14ac:dyDescent="0.25">
      <c r="AG335"/>
      <c r="AH335"/>
      <c r="AI335"/>
    </row>
    <row r="336" spans="33:35" x14ac:dyDescent="0.25">
      <c r="AG336"/>
      <c r="AH336"/>
      <c r="AI336"/>
    </row>
    <row r="337" spans="33:35" x14ac:dyDescent="0.25">
      <c r="AG337"/>
      <c r="AH337"/>
      <c r="AI337"/>
    </row>
    <row r="338" spans="33:35" x14ac:dyDescent="0.25">
      <c r="AG338"/>
      <c r="AH338"/>
      <c r="AI338"/>
    </row>
    <row r="339" spans="33:35" x14ac:dyDescent="0.25">
      <c r="AG339"/>
      <c r="AH339"/>
      <c r="AI339"/>
    </row>
    <row r="340" spans="33:35" x14ac:dyDescent="0.25">
      <c r="AG340"/>
      <c r="AH340"/>
      <c r="AI340"/>
    </row>
    <row r="341" spans="33:35" x14ac:dyDescent="0.25">
      <c r="AG341"/>
      <c r="AH341"/>
      <c r="AI341"/>
    </row>
    <row r="342" spans="33:35" x14ac:dyDescent="0.25">
      <c r="AG342"/>
      <c r="AH342"/>
      <c r="AI342"/>
    </row>
    <row r="343" spans="33:35" x14ac:dyDescent="0.25">
      <c r="AG343"/>
      <c r="AH343"/>
      <c r="AI343"/>
    </row>
    <row r="344" spans="33:35" x14ac:dyDescent="0.25">
      <c r="AG344"/>
      <c r="AH344"/>
      <c r="AI344"/>
    </row>
    <row r="345" spans="33:35" x14ac:dyDescent="0.25">
      <c r="AG345"/>
      <c r="AH345"/>
      <c r="AI345"/>
    </row>
    <row r="346" spans="33:35" x14ac:dyDescent="0.25">
      <c r="AG346"/>
      <c r="AH346"/>
      <c r="AI346"/>
    </row>
    <row r="347" spans="33:35" x14ac:dyDescent="0.25">
      <c r="AG347"/>
      <c r="AH347"/>
      <c r="AI347"/>
    </row>
    <row r="348" spans="33:35" x14ac:dyDescent="0.25">
      <c r="AG348"/>
      <c r="AH348"/>
      <c r="AI348"/>
    </row>
    <row r="349" spans="33:35" x14ac:dyDescent="0.25">
      <c r="AG349"/>
      <c r="AH349"/>
      <c r="AI349"/>
    </row>
    <row r="350" spans="33:35" x14ac:dyDescent="0.25">
      <c r="AG350"/>
      <c r="AH350"/>
      <c r="AI350"/>
    </row>
    <row r="351" spans="33:35" x14ac:dyDescent="0.25">
      <c r="AG351"/>
      <c r="AH351"/>
      <c r="AI351"/>
    </row>
    <row r="352" spans="33:35" x14ac:dyDescent="0.25">
      <c r="AG352"/>
      <c r="AH352"/>
      <c r="AI352"/>
    </row>
    <row r="353" spans="33:35" x14ac:dyDescent="0.25">
      <c r="AG353"/>
      <c r="AH353"/>
      <c r="AI353"/>
    </row>
    <row r="354" spans="33:35" x14ac:dyDescent="0.25">
      <c r="AG354"/>
      <c r="AH354"/>
      <c r="AI354"/>
    </row>
    <row r="355" spans="33:35" x14ac:dyDescent="0.25">
      <c r="AG355"/>
      <c r="AH355"/>
      <c r="AI355"/>
    </row>
    <row r="356" spans="33:35" x14ac:dyDescent="0.25">
      <c r="AG356"/>
      <c r="AH356"/>
      <c r="AI356"/>
    </row>
    <row r="357" spans="33:35" x14ac:dyDescent="0.25">
      <c r="AG357"/>
      <c r="AH357"/>
      <c r="AI357"/>
    </row>
    <row r="358" spans="33:35" x14ac:dyDescent="0.25">
      <c r="AG358"/>
      <c r="AH358"/>
      <c r="AI358"/>
    </row>
    <row r="359" spans="33:35" x14ac:dyDescent="0.25">
      <c r="AG359"/>
      <c r="AH359"/>
      <c r="AI359"/>
    </row>
    <row r="360" spans="33:35" x14ac:dyDescent="0.25">
      <c r="AG360"/>
      <c r="AH360"/>
      <c r="AI360"/>
    </row>
    <row r="361" spans="33:35" x14ac:dyDescent="0.25">
      <c r="AG361"/>
      <c r="AH361"/>
      <c r="AI361"/>
    </row>
    <row r="362" spans="33:35" x14ac:dyDescent="0.25">
      <c r="AG362"/>
      <c r="AH362"/>
      <c r="AI362"/>
    </row>
    <row r="363" spans="33:35" x14ac:dyDescent="0.25">
      <c r="AG363"/>
      <c r="AH363"/>
      <c r="AI363"/>
    </row>
    <row r="364" spans="33:35" x14ac:dyDescent="0.25">
      <c r="AG364"/>
      <c r="AH364"/>
      <c r="AI364"/>
    </row>
    <row r="365" spans="33:35" x14ac:dyDescent="0.25">
      <c r="AG365"/>
      <c r="AH365"/>
      <c r="AI365"/>
    </row>
    <row r="366" spans="33:35" x14ac:dyDescent="0.25">
      <c r="AG366"/>
      <c r="AH366"/>
      <c r="AI366"/>
    </row>
    <row r="367" spans="33:35" x14ac:dyDescent="0.25">
      <c r="AG367"/>
      <c r="AH367"/>
      <c r="AI367"/>
    </row>
    <row r="368" spans="33:35" x14ac:dyDescent="0.25">
      <c r="AG368"/>
      <c r="AH368"/>
      <c r="AI368"/>
    </row>
    <row r="369" spans="33:35" x14ac:dyDescent="0.25">
      <c r="AG369"/>
      <c r="AH369"/>
      <c r="AI369"/>
    </row>
    <row r="370" spans="33:35" x14ac:dyDescent="0.25">
      <c r="AG370"/>
      <c r="AH370"/>
      <c r="AI370"/>
    </row>
    <row r="371" spans="33:35" x14ac:dyDescent="0.25">
      <c r="AG371"/>
      <c r="AH371"/>
      <c r="AI371"/>
    </row>
    <row r="372" spans="33:35" x14ac:dyDescent="0.25">
      <c r="AG372"/>
      <c r="AH372"/>
      <c r="AI372"/>
    </row>
    <row r="373" spans="33:35" x14ac:dyDescent="0.25">
      <c r="AG373"/>
      <c r="AH373"/>
      <c r="AI373"/>
    </row>
    <row r="374" spans="33:35" x14ac:dyDescent="0.25">
      <c r="AG374"/>
      <c r="AH374"/>
      <c r="AI374"/>
    </row>
    <row r="375" spans="33:35" x14ac:dyDescent="0.25">
      <c r="AG375"/>
      <c r="AH375"/>
      <c r="AI375"/>
    </row>
    <row r="376" spans="33:35" x14ac:dyDescent="0.25">
      <c r="AG376"/>
      <c r="AH376"/>
      <c r="AI376"/>
    </row>
    <row r="377" spans="33:35" x14ac:dyDescent="0.25">
      <c r="AG377"/>
      <c r="AH377"/>
      <c r="AI377"/>
    </row>
    <row r="378" spans="33:35" x14ac:dyDescent="0.25">
      <c r="AG378"/>
      <c r="AH378"/>
      <c r="AI378"/>
    </row>
    <row r="379" spans="33:35" x14ac:dyDescent="0.25">
      <c r="AG379"/>
      <c r="AH379"/>
      <c r="AI379"/>
    </row>
    <row r="380" spans="33:35" x14ac:dyDescent="0.25">
      <c r="AG380"/>
      <c r="AH380"/>
      <c r="AI380"/>
    </row>
    <row r="381" spans="33:35" x14ac:dyDescent="0.25">
      <c r="AG381"/>
      <c r="AH381"/>
      <c r="AI381"/>
    </row>
    <row r="382" spans="33:35" x14ac:dyDescent="0.25">
      <c r="AG382"/>
      <c r="AH382"/>
      <c r="AI382"/>
    </row>
    <row r="383" spans="33:35" x14ac:dyDescent="0.25">
      <c r="AG383"/>
      <c r="AH383"/>
      <c r="AI383"/>
    </row>
    <row r="384" spans="33:35" x14ac:dyDescent="0.25">
      <c r="AG384"/>
      <c r="AH384"/>
      <c r="AI384"/>
    </row>
    <row r="385" spans="33:35" x14ac:dyDescent="0.25">
      <c r="AG385"/>
      <c r="AH385"/>
      <c r="AI385"/>
    </row>
    <row r="386" spans="33:35" x14ac:dyDescent="0.25">
      <c r="AG386"/>
      <c r="AH386"/>
      <c r="AI386"/>
    </row>
    <row r="387" spans="33:35" x14ac:dyDescent="0.25">
      <c r="AG387"/>
      <c r="AH387"/>
      <c r="AI387"/>
    </row>
    <row r="388" spans="33:35" x14ac:dyDescent="0.25">
      <c r="AG388"/>
      <c r="AH388"/>
      <c r="AI388"/>
    </row>
    <row r="389" spans="33:35" x14ac:dyDescent="0.25">
      <c r="AG389"/>
      <c r="AH389"/>
      <c r="AI389"/>
    </row>
    <row r="390" spans="33:35" x14ac:dyDescent="0.25">
      <c r="AG390"/>
      <c r="AH390"/>
      <c r="AI390"/>
    </row>
    <row r="391" spans="33:35" x14ac:dyDescent="0.25">
      <c r="AG391"/>
      <c r="AH391"/>
      <c r="AI391"/>
    </row>
    <row r="392" spans="33:35" x14ac:dyDescent="0.25">
      <c r="AG392"/>
      <c r="AH392"/>
      <c r="AI392"/>
    </row>
    <row r="393" spans="33:35" x14ac:dyDescent="0.25">
      <c r="AG393"/>
      <c r="AH393"/>
      <c r="AI393"/>
    </row>
    <row r="394" spans="33:35" x14ac:dyDescent="0.25">
      <c r="AG394"/>
      <c r="AH394"/>
      <c r="AI394"/>
    </row>
    <row r="395" spans="33:35" x14ac:dyDescent="0.25">
      <c r="AG395"/>
      <c r="AH395"/>
      <c r="AI395"/>
    </row>
    <row r="396" spans="33:35" x14ac:dyDescent="0.25">
      <c r="AG396"/>
      <c r="AH396"/>
      <c r="AI396"/>
    </row>
    <row r="397" spans="33:35" x14ac:dyDescent="0.25">
      <c r="AG397"/>
      <c r="AH397"/>
      <c r="AI397"/>
    </row>
    <row r="398" spans="33:35" x14ac:dyDescent="0.25">
      <c r="AG398"/>
      <c r="AH398"/>
      <c r="AI398"/>
    </row>
    <row r="399" spans="33:35" x14ac:dyDescent="0.25">
      <c r="AG399"/>
      <c r="AH399"/>
      <c r="AI399"/>
    </row>
    <row r="400" spans="33:35" x14ac:dyDescent="0.25">
      <c r="AG400"/>
      <c r="AH400"/>
      <c r="AI400"/>
    </row>
    <row r="401" spans="33:35" x14ac:dyDescent="0.25">
      <c r="AG401"/>
      <c r="AH401"/>
      <c r="AI401"/>
    </row>
    <row r="402" spans="33:35" x14ac:dyDescent="0.25">
      <c r="AG402"/>
      <c r="AH402"/>
      <c r="AI402"/>
    </row>
    <row r="403" spans="33:35" x14ac:dyDescent="0.25">
      <c r="AG403"/>
      <c r="AH403"/>
      <c r="AI403"/>
    </row>
    <row r="404" spans="33:35" x14ac:dyDescent="0.25">
      <c r="AG404"/>
      <c r="AH404"/>
      <c r="AI404"/>
    </row>
    <row r="405" spans="33:35" x14ac:dyDescent="0.25">
      <c r="AG405"/>
      <c r="AH405"/>
      <c r="AI405"/>
    </row>
    <row r="406" spans="33:35" x14ac:dyDescent="0.25">
      <c r="AG406"/>
      <c r="AH406"/>
      <c r="AI406"/>
    </row>
    <row r="407" spans="33:35" x14ac:dyDescent="0.25">
      <c r="AG407"/>
      <c r="AH407"/>
      <c r="AI407"/>
    </row>
    <row r="408" spans="33:35" x14ac:dyDescent="0.25">
      <c r="AG408"/>
      <c r="AH408"/>
      <c r="AI408"/>
    </row>
    <row r="409" spans="33:35" x14ac:dyDescent="0.25">
      <c r="AG409"/>
      <c r="AH409"/>
      <c r="AI409"/>
    </row>
    <row r="410" spans="33:35" x14ac:dyDescent="0.25">
      <c r="AG410"/>
      <c r="AH410"/>
      <c r="AI410"/>
    </row>
    <row r="411" spans="33:35" x14ac:dyDescent="0.25">
      <c r="AG411"/>
      <c r="AH411"/>
      <c r="AI411"/>
    </row>
    <row r="412" spans="33:35" x14ac:dyDescent="0.25">
      <c r="AG412"/>
      <c r="AH412"/>
      <c r="AI412"/>
    </row>
    <row r="413" spans="33:35" x14ac:dyDescent="0.25">
      <c r="AG413"/>
      <c r="AH413"/>
      <c r="AI413"/>
    </row>
    <row r="414" spans="33:35" x14ac:dyDescent="0.25">
      <c r="AG414"/>
      <c r="AH414"/>
      <c r="AI414"/>
    </row>
    <row r="415" spans="33:35" x14ac:dyDescent="0.25">
      <c r="AG415"/>
      <c r="AH415"/>
      <c r="AI415"/>
    </row>
    <row r="416" spans="33:35" x14ac:dyDescent="0.25">
      <c r="AG416"/>
      <c r="AH416"/>
      <c r="AI416"/>
    </row>
    <row r="417" spans="33:35" x14ac:dyDescent="0.25">
      <c r="AG417"/>
      <c r="AH417"/>
      <c r="AI417"/>
    </row>
    <row r="418" spans="33:35" x14ac:dyDescent="0.25">
      <c r="AG418"/>
      <c r="AH418"/>
      <c r="AI418"/>
    </row>
    <row r="419" spans="33:35" x14ac:dyDescent="0.25">
      <c r="AG419"/>
      <c r="AH419"/>
      <c r="AI419"/>
    </row>
    <row r="420" spans="33:35" x14ac:dyDescent="0.25">
      <c r="AG420"/>
      <c r="AH420"/>
      <c r="AI420"/>
    </row>
    <row r="421" spans="33:35" x14ac:dyDescent="0.25">
      <c r="AG421"/>
      <c r="AH421"/>
      <c r="AI421"/>
    </row>
    <row r="422" spans="33:35" x14ac:dyDescent="0.25">
      <c r="AG422"/>
      <c r="AH422"/>
      <c r="AI422"/>
    </row>
    <row r="423" spans="33:35" x14ac:dyDescent="0.25">
      <c r="AG423"/>
      <c r="AH423"/>
      <c r="AI423"/>
    </row>
    <row r="424" spans="33:35" x14ac:dyDescent="0.25">
      <c r="AG424"/>
      <c r="AH424"/>
      <c r="AI424"/>
    </row>
    <row r="425" spans="33:35" x14ac:dyDescent="0.25">
      <c r="AG425"/>
      <c r="AH425"/>
      <c r="AI425"/>
    </row>
    <row r="426" spans="33:35" x14ac:dyDescent="0.25">
      <c r="AG426"/>
      <c r="AH426"/>
      <c r="AI426"/>
    </row>
    <row r="427" spans="33:35" x14ac:dyDescent="0.25">
      <c r="AG427"/>
      <c r="AH427"/>
      <c r="AI427"/>
    </row>
    <row r="428" spans="33:35" x14ac:dyDescent="0.25">
      <c r="AG428"/>
      <c r="AH428"/>
      <c r="AI428"/>
    </row>
    <row r="429" spans="33:35" x14ac:dyDescent="0.25">
      <c r="AG429"/>
      <c r="AH429"/>
      <c r="AI429"/>
    </row>
    <row r="430" spans="33:35" x14ac:dyDescent="0.25">
      <c r="AG430"/>
      <c r="AH430"/>
      <c r="AI430"/>
    </row>
    <row r="431" spans="33:35" x14ac:dyDescent="0.25">
      <c r="AG431"/>
      <c r="AH431"/>
      <c r="AI431"/>
    </row>
    <row r="432" spans="33:35" x14ac:dyDescent="0.25">
      <c r="AG432"/>
      <c r="AH432"/>
      <c r="AI432"/>
    </row>
    <row r="433" spans="33:35" x14ac:dyDescent="0.25">
      <c r="AG433"/>
      <c r="AH433"/>
      <c r="AI433"/>
    </row>
    <row r="434" spans="33:35" x14ac:dyDescent="0.25">
      <c r="AG434"/>
      <c r="AH434"/>
      <c r="AI434"/>
    </row>
    <row r="435" spans="33:35" x14ac:dyDescent="0.25">
      <c r="AG435"/>
      <c r="AH435"/>
      <c r="AI435"/>
    </row>
    <row r="436" spans="33:35" x14ac:dyDescent="0.25">
      <c r="AG436"/>
      <c r="AH436"/>
      <c r="AI436"/>
    </row>
    <row r="437" spans="33:35" x14ac:dyDescent="0.25">
      <c r="AG437"/>
      <c r="AH437"/>
      <c r="AI437"/>
    </row>
    <row r="438" spans="33:35" x14ac:dyDescent="0.25">
      <c r="AG438"/>
      <c r="AH438"/>
      <c r="AI438"/>
    </row>
    <row r="439" spans="33:35" x14ac:dyDescent="0.25">
      <c r="AG439"/>
      <c r="AH439"/>
      <c r="AI439"/>
    </row>
    <row r="440" spans="33:35" x14ac:dyDescent="0.25">
      <c r="AG440"/>
      <c r="AH440"/>
      <c r="AI440"/>
    </row>
    <row r="441" spans="33:35" x14ac:dyDescent="0.25">
      <c r="AG441"/>
      <c r="AH441"/>
      <c r="AI441"/>
    </row>
    <row r="442" spans="33:35" x14ac:dyDescent="0.25">
      <c r="AG442"/>
      <c r="AH442"/>
      <c r="AI442"/>
    </row>
    <row r="443" spans="33:35" x14ac:dyDescent="0.25">
      <c r="AG443"/>
      <c r="AH443"/>
      <c r="AI443"/>
    </row>
    <row r="444" spans="33:35" x14ac:dyDescent="0.25">
      <c r="AG444"/>
      <c r="AH444"/>
      <c r="AI444"/>
    </row>
    <row r="445" spans="33:35" x14ac:dyDescent="0.25">
      <c r="AG445"/>
      <c r="AH445"/>
      <c r="AI445"/>
    </row>
    <row r="446" spans="33:35" x14ac:dyDescent="0.25">
      <c r="AG446"/>
      <c r="AH446"/>
      <c r="AI446"/>
    </row>
    <row r="447" spans="33:35" x14ac:dyDescent="0.25">
      <c r="AG447"/>
      <c r="AH447"/>
      <c r="AI447"/>
    </row>
    <row r="448" spans="33:35" x14ac:dyDescent="0.25">
      <c r="AG448"/>
      <c r="AH448"/>
      <c r="AI448"/>
    </row>
    <row r="449" spans="33:35" x14ac:dyDescent="0.25">
      <c r="AG449"/>
      <c r="AH449"/>
      <c r="AI449"/>
    </row>
    <row r="450" spans="33:35" x14ac:dyDescent="0.25">
      <c r="AG450"/>
      <c r="AH450"/>
      <c r="AI450"/>
    </row>
    <row r="451" spans="33:35" x14ac:dyDescent="0.25">
      <c r="AG451"/>
      <c r="AH451"/>
      <c r="AI451"/>
    </row>
    <row r="452" spans="33:35" x14ac:dyDescent="0.25">
      <c r="AG452"/>
      <c r="AH452"/>
      <c r="AI452"/>
    </row>
    <row r="453" spans="33:35" x14ac:dyDescent="0.25">
      <c r="AG453"/>
      <c r="AH453"/>
      <c r="AI453"/>
    </row>
    <row r="454" spans="33:35" x14ac:dyDescent="0.25">
      <c r="AG454"/>
      <c r="AH454"/>
      <c r="AI454"/>
    </row>
    <row r="455" spans="33:35" x14ac:dyDescent="0.25">
      <c r="AG455"/>
      <c r="AH455"/>
      <c r="AI455"/>
    </row>
    <row r="456" spans="33:35" x14ac:dyDescent="0.25">
      <c r="AG456"/>
      <c r="AH456"/>
      <c r="AI456"/>
    </row>
    <row r="457" spans="33:35" x14ac:dyDescent="0.25">
      <c r="AG457"/>
      <c r="AH457"/>
      <c r="AI457"/>
    </row>
    <row r="458" spans="33:35" x14ac:dyDescent="0.25">
      <c r="AG458"/>
      <c r="AH458"/>
      <c r="AI458"/>
    </row>
    <row r="459" spans="33:35" x14ac:dyDescent="0.25">
      <c r="AG459"/>
      <c r="AH459"/>
      <c r="AI459"/>
    </row>
    <row r="460" spans="33:35" x14ac:dyDescent="0.25">
      <c r="AG460"/>
      <c r="AH460"/>
      <c r="AI460"/>
    </row>
    <row r="461" spans="33:35" x14ac:dyDescent="0.25">
      <c r="AG461"/>
      <c r="AH461"/>
      <c r="AI461"/>
    </row>
    <row r="462" spans="33:35" x14ac:dyDescent="0.25">
      <c r="AG462"/>
      <c r="AH462"/>
      <c r="AI462"/>
    </row>
    <row r="463" spans="33:35" x14ac:dyDescent="0.25">
      <c r="AG463"/>
      <c r="AH463"/>
      <c r="AI463"/>
    </row>
    <row r="464" spans="33:35" x14ac:dyDescent="0.25">
      <c r="AG464"/>
      <c r="AH464"/>
      <c r="AI464"/>
    </row>
    <row r="465" spans="33:35" x14ac:dyDescent="0.25">
      <c r="AG465"/>
      <c r="AH465"/>
      <c r="AI465"/>
    </row>
    <row r="466" spans="33:35" x14ac:dyDescent="0.25">
      <c r="AG466"/>
      <c r="AH466"/>
      <c r="AI466"/>
    </row>
    <row r="467" spans="33:35" x14ac:dyDescent="0.25">
      <c r="AG467"/>
      <c r="AH467"/>
      <c r="AI467"/>
    </row>
    <row r="468" spans="33:35" x14ac:dyDescent="0.25">
      <c r="AG468"/>
      <c r="AH468"/>
      <c r="AI468"/>
    </row>
    <row r="469" spans="33:35" x14ac:dyDescent="0.25">
      <c r="AG469"/>
      <c r="AH469"/>
      <c r="AI469"/>
    </row>
    <row r="470" spans="33:35" x14ac:dyDescent="0.25">
      <c r="AG470"/>
      <c r="AH470"/>
      <c r="AI470"/>
    </row>
    <row r="471" spans="33:35" x14ac:dyDescent="0.25">
      <c r="AG471"/>
      <c r="AH471"/>
      <c r="AI471"/>
    </row>
    <row r="472" spans="33:35" x14ac:dyDescent="0.25">
      <c r="AG472"/>
      <c r="AH472"/>
      <c r="AI472"/>
    </row>
    <row r="473" spans="33:35" x14ac:dyDescent="0.25">
      <c r="AG473"/>
      <c r="AH473"/>
      <c r="AI473"/>
    </row>
    <row r="474" spans="33:35" x14ac:dyDescent="0.25">
      <c r="AG474"/>
      <c r="AH474"/>
      <c r="AI474"/>
    </row>
    <row r="475" spans="33:35" x14ac:dyDescent="0.25">
      <c r="AG475"/>
      <c r="AH475"/>
      <c r="AI475"/>
    </row>
    <row r="476" spans="33:35" x14ac:dyDescent="0.25">
      <c r="AG476"/>
      <c r="AH476"/>
      <c r="AI476"/>
    </row>
    <row r="477" spans="33:35" x14ac:dyDescent="0.25">
      <c r="AG477"/>
      <c r="AH477"/>
      <c r="AI477"/>
    </row>
    <row r="478" spans="33:35" x14ac:dyDescent="0.25">
      <c r="AG478"/>
      <c r="AH478"/>
      <c r="AI478"/>
    </row>
    <row r="479" spans="33:35" x14ac:dyDescent="0.25">
      <c r="AG479"/>
      <c r="AH479"/>
      <c r="AI479"/>
    </row>
    <row r="480" spans="33:35" x14ac:dyDescent="0.25">
      <c r="AG480"/>
      <c r="AH480"/>
      <c r="AI480"/>
    </row>
    <row r="481" spans="33:35" x14ac:dyDescent="0.25">
      <c r="AG481"/>
      <c r="AH481"/>
      <c r="AI481"/>
    </row>
    <row r="482" spans="33:35" x14ac:dyDescent="0.25">
      <c r="AG482"/>
      <c r="AH482"/>
      <c r="AI482"/>
    </row>
    <row r="483" spans="33:35" x14ac:dyDescent="0.25">
      <c r="AG483"/>
      <c r="AH483"/>
      <c r="AI483"/>
    </row>
    <row r="484" spans="33:35" x14ac:dyDescent="0.25">
      <c r="AG484"/>
      <c r="AH484"/>
      <c r="AI484"/>
    </row>
    <row r="485" spans="33:35" x14ac:dyDescent="0.25">
      <c r="AG485"/>
      <c r="AH485"/>
      <c r="AI485"/>
    </row>
    <row r="486" spans="33:35" x14ac:dyDescent="0.25">
      <c r="AG486"/>
      <c r="AH486"/>
      <c r="AI486"/>
    </row>
    <row r="487" spans="33:35" x14ac:dyDescent="0.25">
      <c r="AG487"/>
      <c r="AH487"/>
      <c r="AI487"/>
    </row>
    <row r="488" spans="33:35" x14ac:dyDescent="0.25">
      <c r="AG488"/>
      <c r="AH488"/>
      <c r="AI488"/>
    </row>
    <row r="489" spans="33:35" x14ac:dyDescent="0.25">
      <c r="AG489"/>
      <c r="AH489"/>
      <c r="AI489"/>
    </row>
    <row r="490" spans="33:35" x14ac:dyDescent="0.25">
      <c r="AG490"/>
      <c r="AH490"/>
      <c r="AI490"/>
    </row>
    <row r="491" spans="33:35" x14ac:dyDescent="0.25">
      <c r="AG491"/>
      <c r="AH491"/>
      <c r="AI491"/>
    </row>
    <row r="492" spans="33:35" x14ac:dyDescent="0.25">
      <c r="AG492"/>
      <c r="AH492"/>
      <c r="AI492"/>
    </row>
    <row r="493" spans="33:35" x14ac:dyDescent="0.25">
      <c r="AG493"/>
      <c r="AH493"/>
      <c r="AI493"/>
    </row>
    <row r="494" spans="33:35" x14ac:dyDescent="0.25">
      <c r="AG494"/>
      <c r="AH494"/>
      <c r="AI494"/>
    </row>
    <row r="495" spans="33:35" x14ac:dyDescent="0.25">
      <c r="AG495"/>
      <c r="AH495"/>
      <c r="AI495"/>
    </row>
    <row r="496" spans="33:35" x14ac:dyDescent="0.25">
      <c r="AG496"/>
      <c r="AH496"/>
      <c r="AI496"/>
    </row>
    <row r="497" spans="33:35" x14ac:dyDescent="0.25">
      <c r="AG497"/>
      <c r="AH497"/>
      <c r="AI497"/>
    </row>
    <row r="498" spans="33:35" x14ac:dyDescent="0.25">
      <c r="AG498"/>
      <c r="AH498"/>
      <c r="AI498"/>
    </row>
    <row r="499" spans="33:35" x14ac:dyDescent="0.25">
      <c r="AG499"/>
      <c r="AH499"/>
      <c r="AI499"/>
    </row>
    <row r="500" spans="33:35" x14ac:dyDescent="0.25">
      <c r="AG500"/>
      <c r="AH500"/>
      <c r="AI500"/>
    </row>
    <row r="501" spans="33:35" x14ac:dyDescent="0.25">
      <c r="AG501"/>
      <c r="AH501"/>
      <c r="AI501"/>
    </row>
    <row r="502" spans="33:35" x14ac:dyDescent="0.25">
      <c r="AG502"/>
      <c r="AH502"/>
      <c r="AI502"/>
    </row>
    <row r="503" spans="33:35" x14ac:dyDescent="0.25">
      <c r="AG503"/>
      <c r="AH503"/>
      <c r="AI503"/>
    </row>
    <row r="504" spans="33:35" x14ac:dyDescent="0.25">
      <c r="AG504"/>
      <c r="AH504"/>
      <c r="AI504"/>
    </row>
    <row r="505" spans="33:35" x14ac:dyDescent="0.25">
      <c r="AG505"/>
      <c r="AH505"/>
      <c r="AI505"/>
    </row>
    <row r="506" spans="33:35" x14ac:dyDescent="0.25">
      <c r="AG506"/>
      <c r="AH506"/>
      <c r="AI506"/>
    </row>
    <row r="507" spans="33:35" x14ac:dyDescent="0.25">
      <c r="AG507"/>
      <c r="AH507"/>
      <c r="AI507"/>
    </row>
    <row r="508" spans="33:35" x14ac:dyDescent="0.25">
      <c r="AG508"/>
      <c r="AH508"/>
      <c r="AI508"/>
    </row>
    <row r="509" spans="33:35" x14ac:dyDescent="0.25">
      <c r="AG509"/>
      <c r="AH509"/>
      <c r="AI509"/>
    </row>
    <row r="510" spans="33:35" x14ac:dyDescent="0.25">
      <c r="AG510"/>
      <c r="AH510"/>
      <c r="AI510"/>
    </row>
    <row r="511" spans="33:35" x14ac:dyDescent="0.25">
      <c r="AG511"/>
      <c r="AH511"/>
      <c r="AI511"/>
    </row>
    <row r="512" spans="33:35" x14ac:dyDescent="0.25">
      <c r="AG512"/>
      <c r="AH512"/>
      <c r="AI512"/>
    </row>
    <row r="513" spans="33:35" x14ac:dyDescent="0.25">
      <c r="AG513"/>
      <c r="AH513"/>
      <c r="AI513"/>
    </row>
    <row r="514" spans="33:35" x14ac:dyDescent="0.25">
      <c r="AG514"/>
      <c r="AH514"/>
      <c r="AI514"/>
    </row>
    <row r="515" spans="33:35" x14ac:dyDescent="0.25">
      <c r="AG515"/>
      <c r="AH515"/>
      <c r="AI515"/>
    </row>
    <row r="516" spans="33:35" x14ac:dyDescent="0.25">
      <c r="AG516"/>
      <c r="AH516"/>
      <c r="AI516"/>
    </row>
    <row r="517" spans="33:35" x14ac:dyDescent="0.25">
      <c r="AG517"/>
      <c r="AH517"/>
      <c r="AI517"/>
    </row>
    <row r="518" spans="33:35" x14ac:dyDescent="0.25">
      <c r="AG518"/>
      <c r="AH518"/>
      <c r="AI518"/>
    </row>
    <row r="519" spans="33:35" x14ac:dyDescent="0.25">
      <c r="AG519"/>
      <c r="AH519"/>
      <c r="AI519"/>
    </row>
    <row r="520" spans="33:35" x14ac:dyDescent="0.25">
      <c r="AG520"/>
      <c r="AH520"/>
      <c r="AI520"/>
    </row>
    <row r="521" spans="33:35" x14ac:dyDescent="0.25">
      <c r="AG521"/>
      <c r="AH521"/>
      <c r="AI521"/>
    </row>
    <row r="522" spans="33:35" x14ac:dyDescent="0.25">
      <c r="AG522"/>
      <c r="AH522"/>
      <c r="AI522"/>
    </row>
    <row r="523" spans="33:35" x14ac:dyDescent="0.25">
      <c r="AG523"/>
      <c r="AH523"/>
      <c r="AI523"/>
    </row>
    <row r="524" spans="33:35" x14ac:dyDescent="0.25">
      <c r="AG524"/>
      <c r="AH524"/>
      <c r="AI524"/>
    </row>
    <row r="525" spans="33:35" x14ac:dyDescent="0.25">
      <c r="AG525"/>
      <c r="AH525"/>
      <c r="AI525"/>
    </row>
    <row r="526" spans="33:35" x14ac:dyDescent="0.25">
      <c r="AG526"/>
      <c r="AH526"/>
      <c r="AI526"/>
    </row>
    <row r="527" spans="33:35" x14ac:dyDescent="0.25">
      <c r="AG527"/>
      <c r="AH527"/>
      <c r="AI527"/>
    </row>
    <row r="528" spans="33:35" x14ac:dyDescent="0.25">
      <c r="AG528"/>
      <c r="AH528"/>
      <c r="AI528"/>
    </row>
    <row r="529" spans="33:35" x14ac:dyDescent="0.25">
      <c r="AG529"/>
      <c r="AH529"/>
      <c r="AI529"/>
    </row>
    <row r="530" spans="33:35" x14ac:dyDescent="0.25">
      <c r="AG530"/>
      <c r="AH530"/>
      <c r="AI530"/>
    </row>
    <row r="531" spans="33:35" x14ac:dyDescent="0.25">
      <c r="AG531"/>
      <c r="AH531"/>
      <c r="AI531"/>
    </row>
    <row r="532" spans="33:35" x14ac:dyDescent="0.25">
      <c r="AG532"/>
      <c r="AH532"/>
      <c r="AI532"/>
    </row>
    <row r="533" spans="33:35" x14ac:dyDescent="0.25">
      <c r="AG533"/>
      <c r="AH533"/>
      <c r="AI533"/>
    </row>
    <row r="534" spans="33:35" x14ac:dyDescent="0.25">
      <c r="AG534"/>
      <c r="AH534"/>
      <c r="AI534"/>
    </row>
    <row r="535" spans="33:35" x14ac:dyDescent="0.25">
      <c r="AG535"/>
      <c r="AH535"/>
      <c r="AI535"/>
    </row>
    <row r="536" spans="33:35" x14ac:dyDescent="0.25">
      <c r="AG536"/>
      <c r="AH536"/>
      <c r="AI536"/>
    </row>
    <row r="537" spans="33:35" x14ac:dyDescent="0.25">
      <c r="AG537"/>
      <c r="AH537"/>
      <c r="AI537"/>
    </row>
    <row r="538" spans="33:35" x14ac:dyDescent="0.25">
      <c r="AG538"/>
      <c r="AH538"/>
      <c r="AI538"/>
    </row>
    <row r="539" spans="33:35" x14ac:dyDescent="0.25">
      <c r="AG539"/>
      <c r="AH539"/>
      <c r="AI539"/>
    </row>
    <row r="540" spans="33:35" x14ac:dyDescent="0.25">
      <c r="AG540"/>
      <c r="AH540"/>
      <c r="AI540"/>
    </row>
    <row r="541" spans="33:35" x14ac:dyDescent="0.25">
      <c r="AG541"/>
      <c r="AH541"/>
      <c r="AI541"/>
    </row>
    <row r="542" spans="33:35" x14ac:dyDescent="0.25">
      <c r="AG542"/>
      <c r="AH542"/>
      <c r="AI542"/>
    </row>
    <row r="543" spans="33:35" x14ac:dyDescent="0.25">
      <c r="AG543"/>
      <c r="AH543"/>
      <c r="AI543"/>
    </row>
    <row r="544" spans="33:35" x14ac:dyDescent="0.25">
      <c r="AG544"/>
      <c r="AH544"/>
      <c r="AI544"/>
    </row>
    <row r="545" spans="33:35" x14ac:dyDescent="0.25">
      <c r="AG545"/>
      <c r="AH545"/>
      <c r="AI545"/>
    </row>
    <row r="546" spans="33:35" x14ac:dyDescent="0.25">
      <c r="AG546"/>
      <c r="AH546"/>
      <c r="AI546"/>
    </row>
    <row r="547" spans="33:35" x14ac:dyDescent="0.25">
      <c r="AG547"/>
      <c r="AH547"/>
      <c r="AI547"/>
    </row>
    <row r="548" spans="33:35" x14ac:dyDescent="0.25">
      <c r="AG548"/>
      <c r="AH548"/>
      <c r="AI548"/>
    </row>
    <row r="549" spans="33:35" x14ac:dyDescent="0.25">
      <c r="AG549"/>
      <c r="AH549"/>
      <c r="AI549"/>
    </row>
    <row r="550" spans="33:35" x14ac:dyDescent="0.25">
      <c r="AG550"/>
      <c r="AH550"/>
      <c r="AI550"/>
    </row>
    <row r="551" spans="33:35" x14ac:dyDescent="0.25">
      <c r="AG551"/>
      <c r="AH551"/>
      <c r="AI551"/>
    </row>
    <row r="552" spans="33:35" x14ac:dyDescent="0.25">
      <c r="AG552"/>
      <c r="AH552"/>
      <c r="AI552"/>
    </row>
    <row r="553" spans="33:35" x14ac:dyDescent="0.25">
      <c r="AG553"/>
      <c r="AH553"/>
      <c r="AI553"/>
    </row>
    <row r="554" spans="33:35" x14ac:dyDescent="0.25">
      <c r="AG554"/>
      <c r="AH554"/>
      <c r="AI554"/>
    </row>
    <row r="555" spans="33:35" x14ac:dyDescent="0.25">
      <c r="AG555"/>
      <c r="AH555"/>
      <c r="AI555"/>
    </row>
    <row r="556" spans="33:35" x14ac:dyDescent="0.25">
      <c r="AG556"/>
      <c r="AH556"/>
      <c r="AI556"/>
    </row>
    <row r="557" spans="33:35" x14ac:dyDescent="0.25">
      <c r="AG557"/>
      <c r="AH557"/>
      <c r="AI557"/>
    </row>
    <row r="558" spans="33:35" x14ac:dyDescent="0.25">
      <c r="AG558"/>
      <c r="AH558"/>
      <c r="AI558"/>
    </row>
    <row r="559" spans="33:35" x14ac:dyDescent="0.25">
      <c r="AG559"/>
      <c r="AH559"/>
      <c r="AI559"/>
    </row>
    <row r="560" spans="33:35" x14ac:dyDescent="0.25">
      <c r="AG560"/>
      <c r="AH560"/>
      <c r="AI560"/>
    </row>
    <row r="561" spans="33:35" x14ac:dyDescent="0.25">
      <c r="AG561"/>
      <c r="AH561"/>
      <c r="AI561"/>
    </row>
    <row r="562" spans="33:35" x14ac:dyDescent="0.25">
      <c r="AG562"/>
      <c r="AH562"/>
      <c r="AI562"/>
    </row>
    <row r="563" spans="33:35" x14ac:dyDescent="0.25">
      <c r="AG563"/>
      <c r="AH563"/>
      <c r="AI563"/>
    </row>
    <row r="564" spans="33:35" x14ac:dyDescent="0.25">
      <c r="AG564"/>
      <c r="AH564"/>
      <c r="AI564"/>
    </row>
    <row r="565" spans="33:35" x14ac:dyDescent="0.25">
      <c r="AG565"/>
      <c r="AH565"/>
      <c r="AI565"/>
    </row>
    <row r="566" spans="33:35" x14ac:dyDescent="0.25">
      <c r="AG566"/>
      <c r="AH566"/>
      <c r="AI566"/>
    </row>
    <row r="567" spans="33:35" x14ac:dyDescent="0.25">
      <c r="AG567"/>
      <c r="AH567"/>
      <c r="AI567"/>
    </row>
    <row r="568" spans="33:35" x14ac:dyDescent="0.25">
      <c r="AG568"/>
      <c r="AH568"/>
      <c r="AI568"/>
    </row>
    <row r="569" spans="33:35" x14ac:dyDescent="0.25">
      <c r="AG569"/>
      <c r="AH569"/>
      <c r="AI569"/>
    </row>
    <row r="570" spans="33:35" x14ac:dyDescent="0.25">
      <c r="AG570"/>
      <c r="AH570"/>
      <c r="AI570"/>
    </row>
    <row r="571" spans="33:35" x14ac:dyDescent="0.25">
      <c r="AG571"/>
      <c r="AH571"/>
      <c r="AI571"/>
    </row>
    <row r="572" spans="33:35" x14ac:dyDescent="0.25">
      <c r="AG572"/>
      <c r="AH572"/>
      <c r="AI572"/>
    </row>
    <row r="573" spans="33:35" x14ac:dyDescent="0.25">
      <c r="AG573"/>
      <c r="AH573"/>
      <c r="AI573"/>
    </row>
    <row r="574" spans="33:35" x14ac:dyDescent="0.25">
      <c r="AG574"/>
      <c r="AH574"/>
      <c r="AI574"/>
    </row>
    <row r="575" spans="33:35" x14ac:dyDescent="0.25">
      <c r="AG575"/>
      <c r="AH575"/>
      <c r="AI575"/>
    </row>
    <row r="576" spans="33:35" x14ac:dyDescent="0.25">
      <c r="AG576"/>
      <c r="AH576"/>
      <c r="AI576"/>
    </row>
    <row r="577" spans="33:35" x14ac:dyDescent="0.25">
      <c r="AG577"/>
      <c r="AH577"/>
      <c r="AI577"/>
    </row>
    <row r="578" spans="33:35" x14ac:dyDescent="0.25">
      <c r="AG578"/>
      <c r="AH578"/>
      <c r="AI578"/>
    </row>
    <row r="579" spans="33:35" x14ac:dyDescent="0.25">
      <c r="AG579"/>
      <c r="AH579"/>
      <c r="AI579"/>
    </row>
    <row r="580" spans="33:35" x14ac:dyDescent="0.25">
      <c r="AG580"/>
      <c r="AH580"/>
      <c r="AI580"/>
    </row>
    <row r="581" spans="33:35" x14ac:dyDescent="0.25">
      <c r="AG581"/>
      <c r="AH581"/>
      <c r="AI581"/>
    </row>
    <row r="582" spans="33:35" x14ac:dyDescent="0.25">
      <c r="AG582"/>
      <c r="AH582"/>
      <c r="AI582"/>
    </row>
    <row r="583" spans="33:35" x14ac:dyDescent="0.25">
      <c r="AG583"/>
      <c r="AH583"/>
      <c r="AI583"/>
    </row>
    <row r="584" spans="33:35" x14ac:dyDescent="0.25">
      <c r="AG584"/>
      <c r="AH584"/>
      <c r="AI584"/>
    </row>
    <row r="585" spans="33:35" x14ac:dyDescent="0.25">
      <c r="AG585"/>
      <c r="AH585"/>
      <c r="AI585"/>
    </row>
    <row r="586" spans="33:35" x14ac:dyDescent="0.25">
      <c r="AG586"/>
      <c r="AH586"/>
      <c r="AI586"/>
    </row>
    <row r="587" spans="33:35" x14ac:dyDescent="0.25">
      <c r="AG587"/>
      <c r="AH587"/>
      <c r="AI587"/>
    </row>
    <row r="588" spans="33:35" x14ac:dyDescent="0.25">
      <c r="AG588"/>
      <c r="AH588"/>
      <c r="AI588"/>
    </row>
    <row r="589" spans="33:35" x14ac:dyDescent="0.25">
      <c r="AG589"/>
      <c r="AH589"/>
      <c r="AI589"/>
    </row>
    <row r="590" spans="33:35" x14ac:dyDescent="0.25">
      <c r="AG590"/>
      <c r="AH590"/>
      <c r="AI590"/>
    </row>
    <row r="591" spans="33:35" x14ac:dyDescent="0.25">
      <c r="AG591"/>
      <c r="AH591"/>
      <c r="AI591"/>
    </row>
    <row r="592" spans="33:35" x14ac:dyDescent="0.25">
      <c r="AG592"/>
      <c r="AH592"/>
      <c r="AI592"/>
    </row>
    <row r="593" spans="33:35" x14ac:dyDescent="0.25">
      <c r="AG593"/>
      <c r="AH593"/>
      <c r="AI593"/>
    </row>
    <row r="594" spans="33:35" x14ac:dyDescent="0.25">
      <c r="AG594"/>
      <c r="AH594"/>
      <c r="AI594"/>
    </row>
    <row r="595" spans="33:35" x14ac:dyDescent="0.25">
      <c r="AG595"/>
      <c r="AH595"/>
      <c r="AI595"/>
    </row>
    <row r="596" spans="33:35" x14ac:dyDescent="0.25">
      <c r="AG596"/>
      <c r="AH596"/>
      <c r="AI596"/>
    </row>
    <row r="597" spans="33:35" x14ac:dyDescent="0.25">
      <c r="AG597"/>
      <c r="AH597"/>
      <c r="AI597"/>
    </row>
    <row r="598" spans="33:35" x14ac:dyDescent="0.25">
      <c r="AG598"/>
      <c r="AH598"/>
      <c r="AI598"/>
    </row>
    <row r="599" spans="33:35" x14ac:dyDescent="0.25">
      <c r="AG599"/>
      <c r="AH599"/>
      <c r="AI599"/>
    </row>
    <row r="600" spans="33:35" x14ac:dyDescent="0.25">
      <c r="AG600"/>
      <c r="AH600"/>
      <c r="AI600"/>
    </row>
    <row r="601" spans="33:35" x14ac:dyDescent="0.25">
      <c r="AG601"/>
      <c r="AH601"/>
      <c r="AI601"/>
    </row>
    <row r="602" spans="33:35" x14ac:dyDescent="0.25">
      <c r="AG602"/>
      <c r="AH602"/>
      <c r="AI602"/>
    </row>
    <row r="603" spans="33:35" x14ac:dyDescent="0.25">
      <c r="AG603"/>
      <c r="AH603"/>
      <c r="AI603"/>
    </row>
    <row r="604" spans="33:35" x14ac:dyDescent="0.25">
      <c r="AG604"/>
      <c r="AH604"/>
      <c r="AI604"/>
    </row>
    <row r="605" spans="33:35" x14ac:dyDescent="0.25">
      <c r="AG605"/>
      <c r="AH605"/>
      <c r="AI605"/>
    </row>
    <row r="606" spans="33:35" x14ac:dyDescent="0.25">
      <c r="AG606"/>
      <c r="AH606"/>
      <c r="AI606"/>
    </row>
    <row r="607" spans="33:35" x14ac:dyDescent="0.25">
      <c r="AG607"/>
      <c r="AH607"/>
      <c r="AI607"/>
    </row>
    <row r="608" spans="33:35" x14ac:dyDescent="0.25">
      <c r="AG608"/>
      <c r="AH608"/>
      <c r="AI608"/>
    </row>
    <row r="609" spans="33:35" x14ac:dyDescent="0.25">
      <c r="AG609"/>
      <c r="AH609"/>
      <c r="AI609"/>
    </row>
    <row r="610" spans="33:35" x14ac:dyDescent="0.25">
      <c r="AG610"/>
      <c r="AH610"/>
      <c r="AI610"/>
    </row>
    <row r="611" spans="33:35" x14ac:dyDescent="0.25">
      <c r="AG611"/>
      <c r="AH611"/>
      <c r="AI611"/>
    </row>
    <row r="612" spans="33:35" x14ac:dyDescent="0.25">
      <c r="AG612"/>
      <c r="AH612"/>
      <c r="AI612"/>
    </row>
    <row r="613" spans="33:35" x14ac:dyDescent="0.25">
      <c r="AG613"/>
      <c r="AH613"/>
      <c r="AI613"/>
    </row>
    <row r="614" spans="33:35" x14ac:dyDescent="0.25">
      <c r="AG614"/>
      <c r="AH614"/>
      <c r="AI614"/>
    </row>
    <row r="615" spans="33:35" x14ac:dyDescent="0.25">
      <c r="AG615"/>
      <c r="AH615"/>
      <c r="AI615"/>
    </row>
    <row r="616" spans="33:35" x14ac:dyDescent="0.25">
      <c r="AG616"/>
      <c r="AH616"/>
      <c r="AI616"/>
    </row>
    <row r="617" spans="33:35" x14ac:dyDescent="0.25">
      <c r="AG617"/>
      <c r="AH617"/>
      <c r="AI617"/>
    </row>
    <row r="618" spans="33:35" x14ac:dyDescent="0.25">
      <c r="AG618"/>
      <c r="AH618"/>
      <c r="AI618"/>
    </row>
    <row r="619" spans="33:35" x14ac:dyDescent="0.25">
      <c r="AG619"/>
      <c r="AH619"/>
      <c r="AI619"/>
    </row>
    <row r="620" spans="33:35" x14ac:dyDescent="0.25">
      <c r="AG620"/>
      <c r="AH620"/>
      <c r="AI620"/>
    </row>
    <row r="621" spans="33:35" x14ac:dyDescent="0.25">
      <c r="AG621"/>
      <c r="AH621"/>
      <c r="AI621"/>
    </row>
    <row r="622" spans="33:35" x14ac:dyDescent="0.25">
      <c r="AG622"/>
      <c r="AH622"/>
      <c r="AI622"/>
    </row>
    <row r="623" spans="33:35" x14ac:dyDescent="0.25">
      <c r="AG623"/>
      <c r="AH623"/>
      <c r="AI623"/>
    </row>
    <row r="624" spans="33:35" x14ac:dyDescent="0.25">
      <c r="AG624"/>
      <c r="AH624"/>
      <c r="AI624"/>
    </row>
    <row r="625" spans="33:35" x14ac:dyDescent="0.25">
      <c r="AG625"/>
      <c r="AH625"/>
      <c r="AI625"/>
    </row>
    <row r="626" spans="33:35" x14ac:dyDescent="0.25">
      <c r="AG626"/>
      <c r="AH626"/>
      <c r="AI626"/>
    </row>
    <row r="627" spans="33:35" x14ac:dyDescent="0.25">
      <c r="AG627"/>
      <c r="AH627"/>
      <c r="AI627"/>
    </row>
    <row r="628" spans="33:35" x14ac:dyDescent="0.25">
      <c r="AG628"/>
      <c r="AH628"/>
      <c r="AI628"/>
    </row>
    <row r="629" spans="33:35" x14ac:dyDescent="0.25">
      <c r="AG629"/>
      <c r="AH629"/>
      <c r="AI629"/>
    </row>
    <row r="630" spans="33:35" x14ac:dyDescent="0.25">
      <c r="AG630"/>
      <c r="AH630"/>
      <c r="AI630"/>
    </row>
    <row r="631" spans="33:35" x14ac:dyDescent="0.25">
      <c r="AG631"/>
      <c r="AH631"/>
      <c r="AI631"/>
    </row>
    <row r="632" spans="33:35" x14ac:dyDescent="0.25">
      <c r="AG632"/>
      <c r="AH632"/>
      <c r="AI632"/>
    </row>
    <row r="633" spans="33:35" x14ac:dyDescent="0.25">
      <c r="AG633"/>
      <c r="AH633"/>
      <c r="AI633"/>
    </row>
    <row r="634" spans="33:35" x14ac:dyDescent="0.25">
      <c r="AG634"/>
      <c r="AH634"/>
      <c r="AI634"/>
    </row>
    <row r="635" spans="33:35" x14ac:dyDescent="0.25">
      <c r="AG635"/>
      <c r="AH635"/>
      <c r="AI635"/>
    </row>
    <row r="636" spans="33:35" x14ac:dyDescent="0.25">
      <c r="AG636"/>
      <c r="AH636"/>
      <c r="AI636"/>
    </row>
    <row r="637" spans="33:35" x14ac:dyDescent="0.25">
      <c r="AG637"/>
      <c r="AH637"/>
      <c r="AI637"/>
    </row>
    <row r="638" spans="33:35" x14ac:dyDescent="0.25">
      <c r="AG638"/>
      <c r="AH638"/>
      <c r="AI638"/>
    </row>
    <row r="639" spans="33:35" x14ac:dyDescent="0.25">
      <c r="AG639"/>
      <c r="AH639"/>
      <c r="AI639"/>
    </row>
    <row r="640" spans="33:35" x14ac:dyDescent="0.25">
      <c r="AG640"/>
      <c r="AH640"/>
      <c r="AI640"/>
    </row>
    <row r="641" spans="33:35" x14ac:dyDescent="0.25">
      <c r="AG641"/>
      <c r="AH641"/>
      <c r="AI641"/>
    </row>
    <row r="642" spans="33:35" x14ac:dyDescent="0.25">
      <c r="AG642"/>
      <c r="AH642"/>
      <c r="AI642"/>
    </row>
    <row r="643" spans="33:35" x14ac:dyDescent="0.25">
      <c r="AG643"/>
      <c r="AH643"/>
      <c r="AI643"/>
    </row>
    <row r="644" spans="33:35" x14ac:dyDescent="0.25">
      <c r="AG644"/>
      <c r="AH644"/>
      <c r="AI644"/>
    </row>
    <row r="645" spans="33:35" x14ac:dyDescent="0.25">
      <c r="AG645"/>
      <c r="AH645"/>
      <c r="AI645"/>
    </row>
    <row r="646" spans="33:35" x14ac:dyDescent="0.25">
      <c r="AG646"/>
      <c r="AH646"/>
      <c r="AI646"/>
    </row>
    <row r="647" spans="33:35" x14ac:dyDescent="0.25">
      <c r="AG647"/>
      <c r="AH647"/>
      <c r="AI647"/>
    </row>
    <row r="648" spans="33:35" x14ac:dyDescent="0.25">
      <c r="AG648"/>
      <c r="AH648"/>
      <c r="AI648"/>
    </row>
    <row r="649" spans="33:35" x14ac:dyDescent="0.25">
      <c r="AG649"/>
      <c r="AH649"/>
      <c r="AI649"/>
    </row>
    <row r="650" spans="33:35" x14ac:dyDescent="0.25">
      <c r="AG650"/>
      <c r="AH650"/>
      <c r="AI650"/>
    </row>
    <row r="651" spans="33:35" x14ac:dyDescent="0.25">
      <c r="AG651"/>
      <c r="AH651"/>
      <c r="AI651"/>
    </row>
    <row r="652" spans="33:35" x14ac:dyDescent="0.25">
      <c r="AG652"/>
      <c r="AH652"/>
      <c r="AI652"/>
    </row>
    <row r="653" spans="33:35" x14ac:dyDescent="0.25">
      <c r="AG653"/>
      <c r="AH653"/>
      <c r="AI653"/>
    </row>
    <row r="654" spans="33:35" x14ac:dyDescent="0.25">
      <c r="AG654"/>
      <c r="AH654"/>
      <c r="AI654"/>
    </row>
    <row r="655" spans="33:35" x14ac:dyDescent="0.25">
      <c r="AG655"/>
      <c r="AH655"/>
      <c r="AI655"/>
    </row>
    <row r="656" spans="33:35" x14ac:dyDescent="0.25">
      <c r="AG656"/>
      <c r="AH656"/>
      <c r="AI656"/>
    </row>
    <row r="657" spans="33:35" x14ac:dyDescent="0.25">
      <c r="AG657"/>
      <c r="AH657"/>
      <c r="AI657"/>
    </row>
    <row r="658" spans="33:35" x14ac:dyDescent="0.25">
      <c r="AG658"/>
      <c r="AH658"/>
      <c r="AI658"/>
    </row>
    <row r="659" spans="33:35" x14ac:dyDescent="0.25">
      <c r="AG659"/>
      <c r="AH659"/>
      <c r="AI659"/>
    </row>
    <row r="660" spans="33:35" x14ac:dyDescent="0.25">
      <c r="AG660"/>
      <c r="AH660"/>
      <c r="AI660"/>
    </row>
    <row r="661" spans="33:35" x14ac:dyDescent="0.25">
      <c r="AG661"/>
      <c r="AH661"/>
      <c r="AI661"/>
    </row>
    <row r="662" spans="33:35" x14ac:dyDescent="0.25">
      <c r="AG662"/>
      <c r="AH662"/>
      <c r="AI662"/>
    </row>
    <row r="663" spans="33:35" x14ac:dyDescent="0.25">
      <c r="AG663"/>
      <c r="AH663"/>
      <c r="AI663"/>
    </row>
    <row r="664" spans="33:35" x14ac:dyDescent="0.25">
      <c r="AG664"/>
      <c r="AH664"/>
      <c r="AI664"/>
    </row>
    <row r="665" spans="33:35" x14ac:dyDescent="0.25">
      <c r="AG665"/>
      <c r="AH665"/>
      <c r="AI665"/>
    </row>
    <row r="666" spans="33:35" x14ac:dyDescent="0.25">
      <c r="AG666"/>
      <c r="AH666"/>
      <c r="AI666"/>
    </row>
    <row r="667" spans="33:35" x14ac:dyDescent="0.25">
      <c r="AG667"/>
      <c r="AH667"/>
      <c r="AI667"/>
    </row>
    <row r="668" spans="33:35" x14ac:dyDescent="0.25">
      <c r="AG668"/>
      <c r="AH668"/>
      <c r="AI668"/>
    </row>
    <row r="669" spans="33:35" x14ac:dyDescent="0.25">
      <c r="AG669"/>
      <c r="AH669"/>
      <c r="AI669"/>
    </row>
    <row r="670" spans="33:35" x14ac:dyDescent="0.25">
      <c r="AG670"/>
      <c r="AH670"/>
      <c r="AI670"/>
    </row>
    <row r="671" spans="33:35" x14ac:dyDescent="0.25">
      <c r="AG671"/>
      <c r="AH671"/>
      <c r="AI671"/>
    </row>
    <row r="672" spans="33:35" x14ac:dyDescent="0.25">
      <c r="AG672"/>
      <c r="AH672"/>
      <c r="AI672"/>
    </row>
    <row r="673" spans="33:35" x14ac:dyDescent="0.25">
      <c r="AG673"/>
      <c r="AH673"/>
      <c r="AI673"/>
    </row>
    <row r="674" spans="33:35" x14ac:dyDescent="0.25">
      <c r="AG674"/>
      <c r="AH674"/>
      <c r="AI674"/>
    </row>
    <row r="675" spans="33:35" x14ac:dyDescent="0.25">
      <c r="AG675"/>
      <c r="AH675"/>
      <c r="AI675"/>
    </row>
    <row r="676" spans="33:35" x14ac:dyDescent="0.25">
      <c r="AG676"/>
      <c r="AH676"/>
      <c r="AI676"/>
    </row>
    <row r="677" spans="33:35" x14ac:dyDescent="0.25">
      <c r="AG677"/>
      <c r="AH677"/>
      <c r="AI677"/>
    </row>
    <row r="678" spans="33:35" x14ac:dyDescent="0.25">
      <c r="AG678"/>
      <c r="AH678"/>
      <c r="AI678"/>
    </row>
    <row r="679" spans="33:35" x14ac:dyDescent="0.25">
      <c r="AG679"/>
      <c r="AH679"/>
      <c r="AI679"/>
    </row>
    <row r="680" spans="33:35" x14ac:dyDescent="0.25">
      <c r="AG680"/>
      <c r="AH680"/>
      <c r="AI680"/>
    </row>
    <row r="681" spans="33:35" x14ac:dyDescent="0.25">
      <c r="AG681"/>
      <c r="AH681"/>
      <c r="AI681"/>
    </row>
    <row r="682" spans="33:35" x14ac:dyDescent="0.25">
      <c r="AG682"/>
      <c r="AH682"/>
      <c r="AI682"/>
    </row>
    <row r="683" spans="33:35" x14ac:dyDescent="0.25">
      <c r="AG683"/>
      <c r="AH683"/>
      <c r="AI683"/>
    </row>
    <row r="684" spans="33:35" x14ac:dyDescent="0.25">
      <c r="AG684"/>
      <c r="AH684"/>
      <c r="AI684"/>
    </row>
    <row r="685" spans="33:35" x14ac:dyDescent="0.25">
      <c r="AG685"/>
      <c r="AH685"/>
      <c r="AI685"/>
    </row>
    <row r="686" spans="33:35" x14ac:dyDescent="0.25">
      <c r="AG686"/>
      <c r="AH686"/>
      <c r="AI686"/>
    </row>
    <row r="687" spans="33:35" x14ac:dyDescent="0.25">
      <c r="AG687"/>
      <c r="AH687"/>
      <c r="AI687"/>
    </row>
    <row r="688" spans="33:35" x14ac:dyDescent="0.25">
      <c r="AG688"/>
      <c r="AH688"/>
      <c r="AI688"/>
    </row>
    <row r="689" spans="33:35" x14ac:dyDescent="0.25">
      <c r="AG689"/>
      <c r="AH689"/>
      <c r="AI689"/>
    </row>
    <row r="690" spans="33:35" x14ac:dyDescent="0.25">
      <c r="AG690"/>
      <c r="AH690"/>
      <c r="AI690"/>
    </row>
    <row r="691" spans="33:35" x14ac:dyDescent="0.25">
      <c r="AG691"/>
      <c r="AH691"/>
      <c r="AI691"/>
    </row>
    <row r="692" spans="33:35" x14ac:dyDescent="0.25">
      <c r="AG692"/>
      <c r="AH692"/>
      <c r="AI692"/>
    </row>
  </sheetData>
  <sheetProtection algorithmName="SHA-512" hashValue="201JAHC9R30no9Nb9VIbgZ/1s3rNF7gbSpVIceTMcGBqsDKufIvxt7R3c/XLfETcRaGRQPWhziBATUiwQnm2LA==" saltValue="2BAurmGTJ3NNNoqH3sBCkA==" spinCount="100000" sheet="1" objects="1" scenarios="1"/>
  <conditionalFormatting sqref="B11:J37">
    <cfRule type="expression" dxfId="0" priority="6">
      <formula>$B11&lt;&gt;""</formula>
    </cfRule>
  </conditionalFormatting>
  <pageMargins left="0.7" right="0.7" top="0.75" bottom="0.75" header="0.3" footer="0.3"/>
  <pageSetup paperSize="9" orientation="portrait" r:id="rId1"/>
  <drawing r:id="rId2"/>
  <tableParts count="1">
    <tablePart r:id="rId3"/>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3"/>
  <dimension ref="A4:Y35"/>
  <sheetViews>
    <sheetView workbookViewId="0">
      <selection activeCell="E21" sqref="E21"/>
    </sheetView>
  </sheetViews>
  <sheetFormatPr defaultColWidth="9.140625" defaultRowHeight="15" x14ac:dyDescent="0.25"/>
  <cols>
    <col min="1" max="1" width="15.5703125" bestFit="1" customWidth="1"/>
    <col min="2" max="2" width="9.28515625" bestFit="1" customWidth="1"/>
    <col min="3" max="3" width="32.5703125" bestFit="1" customWidth="1"/>
    <col min="4" max="4" width="33.85546875" bestFit="1" customWidth="1"/>
    <col min="5" max="5" width="38" bestFit="1" customWidth="1"/>
    <col min="6" max="6" width="32.42578125" bestFit="1" customWidth="1"/>
    <col min="7" max="7" width="23.140625" bestFit="1" customWidth="1"/>
    <col min="8" max="8" width="4.42578125" customWidth="1"/>
    <col min="9" max="9" width="4" customWidth="1"/>
  </cols>
  <sheetData>
    <row r="4" spans="1:25" ht="45.75" customHeight="1" x14ac:dyDescent="0.25">
      <c r="C4" s="382" t="s">
        <v>14</v>
      </c>
    </row>
    <row r="5" spans="1:25" x14ac:dyDescent="0.25">
      <c r="A5" s="382" t="s">
        <v>15</v>
      </c>
      <c r="B5" s="382" t="s">
        <v>12</v>
      </c>
      <c r="C5" s="380" t="s">
        <v>1449</v>
      </c>
      <c r="D5" s="380" t="s">
        <v>1450</v>
      </c>
      <c r="E5" s="380" t="s">
        <v>1451</v>
      </c>
      <c r="F5" s="380" t="s">
        <v>1452</v>
      </c>
      <c r="G5" s="380" t="s">
        <v>1453</v>
      </c>
      <c r="J5" s="462">
        <f>SUM(Models!G16:G20)</f>
        <v>200</v>
      </c>
    </row>
    <row r="6" spans="1:25" x14ac:dyDescent="0.25">
      <c r="A6" s="380">
        <v>5</v>
      </c>
      <c r="B6" s="380">
        <v>1</v>
      </c>
      <c r="C6" s="202">
        <v>266.84848886245254</v>
      </c>
      <c r="D6" s="202">
        <v>25.85</v>
      </c>
      <c r="E6" s="202">
        <v>5.3369697772490508</v>
      </c>
      <c r="F6" s="202">
        <v>10.673939554498102</v>
      </c>
      <c r="G6" s="202">
        <v>200</v>
      </c>
      <c r="L6" s="380"/>
      <c r="M6" s="380"/>
      <c r="N6" s="380"/>
      <c r="O6" s="380"/>
      <c r="P6" s="380"/>
      <c r="Q6" s="380"/>
      <c r="R6" s="380"/>
      <c r="S6" s="380"/>
      <c r="T6" s="380"/>
      <c r="U6" s="380"/>
      <c r="V6" s="380"/>
      <c r="W6" s="380"/>
      <c r="X6" s="380"/>
      <c r="Y6" s="380"/>
    </row>
    <row r="7" spans="1:25" x14ac:dyDescent="0.25">
      <c r="A7" s="380">
        <v>5</v>
      </c>
      <c r="B7" s="380" t="s">
        <v>1515</v>
      </c>
      <c r="C7" s="202"/>
      <c r="D7" s="202"/>
      <c r="E7" s="202"/>
      <c r="F7" s="202"/>
      <c r="G7" s="202"/>
      <c r="L7" s="380"/>
      <c r="M7" s="380"/>
      <c r="N7" s="380"/>
      <c r="O7" s="380"/>
      <c r="P7" s="380"/>
      <c r="Q7" s="380"/>
      <c r="R7" s="380"/>
      <c r="S7" s="380"/>
      <c r="T7" s="380"/>
      <c r="U7" s="380"/>
      <c r="V7" s="380"/>
      <c r="W7" s="380"/>
      <c r="X7" s="380"/>
      <c r="Y7" s="380"/>
    </row>
    <row r="8" spans="1:25" x14ac:dyDescent="0.25">
      <c r="A8" s="380">
        <v>10</v>
      </c>
      <c r="B8" s="380">
        <v>1</v>
      </c>
      <c r="C8" s="202"/>
      <c r="D8" s="202">
        <v>51.7</v>
      </c>
      <c r="E8" s="202"/>
      <c r="F8" s="202"/>
      <c r="G8" s="202">
        <v>400</v>
      </c>
    </row>
    <row r="9" spans="1:25" x14ac:dyDescent="0.25">
      <c r="A9" s="380">
        <v>10</v>
      </c>
      <c r="B9" s="380">
        <v>0.5</v>
      </c>
      <c r="C9" s="202">
        <v>101.37839305068346</v>
      </c>
      <c r="D9" s="202">
        <v>25.85</v>
      </c>
      <c r="E9" s="202">
        <v>1.0137839305068346</v>
      </c>
      <c r="F9" s="202">
        <v>1.0137839305068346</v>
      </c>
      <c r="G9" s="202">
        <v>100</v>
      </c>
    </row>
    <row r="10" spans="1:25" x14ac:dyDescent="0.25">
      <c r="A10" s="380">
        <v>10</v>
      </c>
      <c r="B10" s="380" t="s">
        <v>1515</v>
      </c>
      <c r="C10" s="202"/>
      <c r="D10" s="202"/>
      <c r="E10" s="202"/>
      <c r="F10" s="202"/>
      <c r="G10" s="202"/>
    </row>
    <row r="11" spans="1:25" x14ac:dyDescent="0.25">
      <c r="A11" s="380">
        <v>15</v>
      </c>
      <c r="B11" s="380">
        <v>1</v>
      </c>
      <c r="C11" s="202"/>
      <c r="D11" s="202">
        <v>51.7</v>
      </c>
      <c r="E11" s="202"/>
      <c r="F11" s="202"/>
      <c r="G11" s="202">
        <v>400</v>
      </c>
    </row>
    <row r="12" spans="1:25" x14ac:dyDescent="0.25">
      <c r="A12" s="380">
        <v>15</v>
      </c>
      <c r="B12" s="380">
        <v>0.5</v>
      </c>
      <c r="C12" s="202">
        <v>225.39822059265435</v>
      </c>
      <c r="D12" s="202">
        <v>25.85</v>
      </c>
      <c r="E12" s="202">
        <v>2.2539822059265435</v>
      </c>
      <c r="F12" s="202">
        <v>2.2539822059265435</v>
      </c>
      <c r="G12" s="202">
        <v>100</v>
      </c>
    </row>
    <row r="13" spans="1:25" x14ac:dyDescent="0.25">
      <c r="A13" s="380">
        <v>15</v>
      </c>
      <c r="B13" s="380" t="s">
        <v>1515</v>
      </c>
      <c r="C13" s="202"/>
      <c r="D13" s="202"/>
      <c r="E13" s="202"/>
      <c r="F13" s="202"/>
      <c r="G13" s="202"/>
    </row>
    <row r="14" spans="1:25" x14ac:dyDescent="0.25">
      <c r="A14" s="380">
        <v>20</v>
      </c>
      <c r="B14" s="380">
        <v>1</v>
      </c>
      <c r="C14" s="202"/>
      <c r="D14" s="202">
        <v>51.7</v>
      </c>
      <c r="E14" s="202"/>
      <c r="F14" s="202"/>
      <c r="G14" s="202">
        <v>400</v>
      </c>
    </row>
    <row r="15" spans="1:25" x14ac:dyDescent="0.25">
      <c r="A15" s="380">
        <v>20</v>
      </c>
      <c r="B15" s="380">
        <v>0.5</v>
      </c>
      <c r="C15" s="202">
        <v>348.43296844883218</v>
      </c>
      <c r="D15" s="202">
        <v>25.85</v>
      </c>
      <c r="E15" s="202">
        <v>3.4843296844883218</v>
      </c>
      <c r="F15" s="202">
        <v>3.4843296844883218</v>
      </c>
      <c r="G15" s="202">
        <v>100</v>
      </c>
    </row>
    <row r="16" spans="1:25" x14ac:dyDescent="0.25">
      <c r="A16" s="380">
        <v>20</v>
      </c>
      <c r="B16" s="380" t="s">
        <v>1515</v>
      </c>
      <c r="C16" s="202"/>
      <c r="D16" s="202"/>
      <c r="E16" s="202"/>
      <c r="F16" s="202"/>
      <c r="G16" s="202"/>
    </row>
    <row r="17" spans="1:7" x14ac:dyDescent="0.25">
      <c r="A17" s="380">
        <v>25</v>
      </c>
      <c r="B17" s="380">
        <v>1</v>
      </c>
      <c r="C17" s="202"/>
      <c r="D17" s="202">
        <v>51.7</v>
      </c>
      <c r="E17" s="202"/>
      <c r="F17" s="202"/>
      <c r="G17" s="202">
        <v>400</v>
      </c>
    </row>
    <row r="18" spans="1:7" x14ac:dyDescent="0.25">
      <c r="A18" s="380">
        <v>25</v>
      </c>
      <c r="B18" s="380">
        <v>0.5</v>
      </c>
      <c r="C18" s="202">
        <v>101.37839305068346</v>
      </c>
      <c r="D18" s="202">
        <v>25.85</v>
      </c>
      <c r="E18" s="202">
        <v>1.0137839305068346</v>
      </c>
      <c r="F18" s="202">
        <v>1.0137839305068346</v>
      </c>
      <c r="G18" s="202">
        <v>100</v>
      </c>
    </row>
    <row r="19" spans="1:7" x14ac:dyDescent="0.25">
      <c r="A19" s="380">
        <v>25</v>
      </c>
      <c r="B19" s="380" t="s">
        <v>1515</v>
      </c>
      <c r="C19" s="202"/>
      <c r="D19" s="202"/>
      <c r="E19" s="202"/>
      <c r="F19" s="202"/>
      <c r="G19" s="202"/>
    </row>
    <row r="20" spans="1:7" x14ac:dyDescent="0.25">
      <c r="A20" s="380">
        <v>30</v>
      </c>
      <c r="B20" s="380">
        <v>1</v>
      </c>
      <c r="C20" s="202"/>
      <c r="D20" s="202">
        <v>51.7</v>
      </c>
      <c r="E20" s="202"/>
      <c r="F20" s="202"/>
      <c r="G20" s="202">
        <v>400</v>
      </c>
    </row>
    <row r="21" spans="1:7" x14ac:dyDescent="0.25">
      <c r="A21" s="380">
        <v>30</v>
      </c>
      <c r="B21" s="380">
        <v>0.5</v>
      </c>
      <c r="C21" s="202">
        <v>225.39822059265435</v>
      </c>
      <c r="D21" s="202">
        <v>25.85</v>
      </c>
      <c r="E21" s="202">
        <v>2.2539822059265435</v>
      </c>
      <c r="F21" s="202">
        <v>2.2539822059265435</v>
      </c>
      <c r="G21" s="202">
        <v>100</v>
      </c>
    </row>
    <row r="22" spans="1:7" x14ac:dyDescent="0.25">
      <c r="A22" s="380">
        <v>30</v>
      </c>
      <c r="B22" s="380" t="s">
        <v>1515</v>
      </c>
      <c r="C22" s="202"/>
      <c r="D22" s="202"/>
      <c r="E22" s="202"/>
      <c r="F22" s="202"/>
      <c r="G22" s="202"/>
    </row>
    <row r="23" spans="1:7" x14ac:dyDescent="0.25">
      <c r="A23" s="380">
        <v>35</v>
      </c>
      <c r="B23" s="380">
        <v>1</v>
      </c>
      <c r="C23" s="202"/>
      <c r="D23" s="202">
        <v>51.7</v>
      </c>
      <c r="E23" s="202"/>
      <c r="F23" s="202"/>
      <c r="G23" s="202">
        <v>400</v>
      </c>
    </row>
    <row r="24" spans="1:7" x14ac:dyDescent="0.25">
      <c r="A24" s="380">
        <v>35</v>
      </c>
      <c r="B24" s="380">
        <v>0.5</v>
      </c>
      <c r="C24" s="202">
        <v>348.43296844883218</v>
      </c>
      <c r="D24" s="202">
        <v>25.85</v>
      </c>
      <c r="E24" s="202">
        <v>3.4843296844883218</v>
      </c>
      <c r="F24" s="202">
        <v>3.4843296844883218</v>
      </c>
      <c r="G24" s="202">
        <v>100</v>
      </c>
    </row>
    <row r="25" spans="1:7" x14ac:dyDescent="0.25">
      <c r="A25" s="380">
        <v>35</v>
      </c>
      <c r="B25" s="380" t="s">
        <v>1515</v>
      </c>
      <c r="C25" s="202"/>
      <c r="D25" s="202"/>
      <c r="E25" s="202"/>
      <c r="F25" s="202"/>
      <c r="G25" s="202"/>
    </row>
    <row r="26" spans="1:7" x14ac:dyDescent="0.25">
      <c r="A26" s="380">
        <v>40</v>
      </c>
      <c r="B26" s="380">
        <v>1</v>
      </c>
      <c r="C26" s="202"/>
      <c r="D26" s="202">
        <v>51.7</v>
      </c>
      <c r="E26" s="202"/>
      <c r="F26" s="202"/>
      <c r="G26" s="202">
        <v>400</v>
      </c>
    </row>
    <row r="27" spans="1:7" x14ac:dyDescent="0.25">
      <c r="A27" s="380">
        <v>40</v>
      </c>
      <c r="B27" s="380">
        <v>0.5</v>
      </c>
      <c r="C27" s="202">
        <v>101.37839305068346</v>
      </c>
      <c r="D27" s="202">
        <v>25.85</v>
      </c>
      <c r="E27" s="202">
        <v>1.0137839305068346</v>
      </c>
      <c r="F27" s="202">
        <v>1.0137839305068346</v>
      </c>
      <c r="G27" s="202">
        <v>100</v>
      </c>
    </row>
    <row r="28" spans="1:7" x14ac:dyDescent="0.25">
      <c r="A28" s="380">
        <v>40</v>
      </c>
      <c r="B28" s="380" t="s">
        <v>1515</v>
      </c>
      <c r="C28" s="202"/>
      <c r="D28" s="202"/>
      <c r="E28" s="202"/>
      <c r="F28" s="202"/>
      <c r="G28" s="202"/>
    </row>
    <row r="29" spans="1:7" x14ac:dyDescent="0.25">
      <c r="A29" s="380">
        <v>45</v>
      </c>
      <c r="B29" s="380">
        <v>1</v>
      </c>
      <c r="C29" s="202"/>
      <c r="D29" s="202">
        <v>51.7</v>
      </c>
      <c r="E29" s="202"/>
      <c r="F29" s="202"/>
      <c r="G29" s="202">
        <v>400</v>
      </c>
    </row>
    <row r="30" spans="1:7" x14ac:dyDescent="0.25">
      <c r="A30" s="380">
        <v>45</v>
      </c>
      <c r="B30" s="380">
        <v>0.5</v>
      </c>
      <c r="C30" s="202">
        <v>225.39822059265435</v>
      </c>
      <c r="D30" s="202">
        <v>25.85</v>
      </c>
      <c r="E30" s="202">
        <v>2.2539822059265435</v>
      </c>
      <c r="F30" s="202">
        <v>2.2539822059265435</v>
      </c>
      <c r="G30" s="202">
        <v>100</v>
      </c>
    </row>
    <row r="31" spans="1:7" x14ac:dyDescent="0.25">
      <c r="A31" s="380">
        <v>45</v>
      </c>
      <c r="B31" s="380" t="s">
        <v>1515</v>
      </c>
      <c r="C31" s="202"/>
      <c r="D31" s="202"/>
      <c r="E31" s="202"/>
      <c r="F31" s="202"/>
      <c r="G31" s="202"/>
    </row>
    <row r="32" spans="1:7" x14ac:dyDescent="0.25">
      <c r="A32" s="380">
        <v>0</v>
      </c>
      <c r="B32" s="380">
        <v>1</v>
      </c>
      <c r="C32" s="202"/>
      <c r="D32" s="202">
        <v>25.85</v>
      </c>
      <c r="E32" s="202"/>
      <c r="F32" s="202"/>
      <c r="G32" s="202">
        <v>200</v>
      </c>
    </row>
    <row r="33" spans="1:7" x14ac:dyDescent="0.25">
      <c r="A33" s="380">
        <v>0</v>
      </c>
      <c r="B33" s="380">
        <v>0.5</v>
      </c>
      <c r="C33" s="202">
        <v>225.39822059265435</v>
      </c>
      <c r="D33" s="202">
        <v>25.85</v>
      </c>
      <c r="E33" s="202">
        <v>2.2539822059265435</v>
      </c>
      <c r="F33" s="202">
        <v>2.2539822059265435</v>
      </c>
      <c r="G33" s="202">
        <v>100</v>
      </c>
    </row>
    <row r="34" spans="1:7" x14ac:dyDescent="0.25">
      <c r="A34" s="380">
        <v>0</v>
      </c>
      <c r="B34" s="380" t="s">
        <v>1515</v>
      </c>
      <c r="C34" s="202"/>
      <c r="D34" s="202"/>
      <c r="E34" s="202"/>
      <c r="F34" s="202"/>
      <c r="G34" s="202"/>
    </row>
    <row r="35" spans="1:7" x14ac:dyDescent="0.25">
      <c r="A35" s="380" t="s">
        <v>1587</v>
      </c>
      <c r="C35" s="202"/>
      <c r="D35" s="202">
        <v>697.95000000000027</v>
      </c>
      <c r="E35" s="202"/>
      <c r="F35" s="202"/>
      <c r="G35" s="202">
        <v>4500</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9"/>
  <dimension ref="B1:V37"/>
  <sheetViews>
    <sheetView showGridLines="0" tabSelected="1" zoomScaleNormal="100" workbookViewId="0">
      <pane ySplit="1" topLeftCell="A2" activePane="bottomLeft" state="frozen"/>
      <selection pane="bottomLeft" activeCell="A4" sqref="A4"/>
    </sheetView>
  </sheetViews>
  <sheetFormatPr defaultColWidth="8.7109375" defaultRowHeight="15" x14ac:dyDescent="0.25"/>
  <cols>
    <col min="2" max="2" width="2.42578125" customWidth="1"/>
    <col min="3" max="3" width="6" customWidth="1"/>
    <col min="4" max="4" width="18.7109375" customWidth="1"/>
    <col min="5" max="5" width="19.85546875" customWidth="1"/>
    <col min="6" max="7" width="16.85546875" customWidth="1"/>
    <col min="8" max="8" width="14.85546875" customWidth="1"/>
    <col min="9" max="10" width="14.28515625" customWidth="1"/>
  </cols>
  <sheetData>
    <row r="1" spans="2:22" s="32" customFormat="1" ht="134.25" customHeight="1" x14ac:dyDescent="0.25"/>
    <row r="2" spans="2:22" ht="49.5" customHeight="1" x14ac:dyDescent="0.3">
      <c r="B2" s="1"/>
      <c r="C2" s="467" t="s">
        <v>1572</v>
      </c>
      <c r="J2" s="207"/>
    </row>
    <row r="3" spans="2:22" s="380" customFormat="1" ht="21.75" customHeight="1" thickBot="1" x14ac:dyDescent="0.4">
      <c r="C3" s="442"/>
      <c r="H3" s="465" t="s">
        <v>1454</v>
      </c>
      <c r="I3" s="207"/>
      <c r="J3" s="207"/>
    </row>
    <row r="4" spans="2:22" s="1" customFormat="1" ht="14.25" customHeight="1" x14ac:dyDescent="0.25">
      <c r="B4" s="181"/>
      <c r="C4" s="182"/>
      <c r="D4" s="182"/>
      <c r="E4" s="182"/>
      <c r="F4" s="182"/>
      <c r="G4" s="182"/>
      <c r="H4" s="182"/>
      <c r="I4" s="182"/>
      <c r="J4" s="182"/>
      <c r="K4" s="182"/>
      <c r="L4" s="182"/>
      <c r="M4" s="182"/>
      <c r="N4" s="182"/>
      <c r="O4" s="183"/>
    </row>
    <row r="5" spans="2:22" ht="18.75" x14ac:dyDescent="0.3">
      <c r="B5" s="184"/>
      <c r="C5" s="187"/>
      <c r="D5" s="185"/>
      <c r="E5" s="185"/>
      <c r="F5" s="185"/>
      <c r="G5" s="185"/>
      <c r="H5" s="185"/>
      <c r="I5" s="185"/>
      <c r="J5" s="185"/>
      <c r="K5" s="185"/>
      <c r="L5" s="185"/>
      <c r="M5" s="185"/>
      <c r="N5" s="185"/>
      <c r="O5" s="186"/>
    </row>
    <row r="6" spans="2:22" s="1" customFormat="1" ht="15.75" customHeight="1" x14ac:dyDescent="0.25">
      <c r="B6" s="184"/>
      <c r="C6" s="625"/>
      <c r="D6" s="625"/>
      <c r="E6" s="625"/>
      <c r="F6" s="625"/>
      <c r="G6" s="625"/>
      <c r="H6" s="625"/>
      <c r="I6" s="625"/>
      <c r="J6" s="625"/>
      <c r="K6" s="625"/>
      <c r="L6" s="625"/>
      <c r="M6" s="185"/>
      <c r="N6" s="185"/>
      <c r="O6" s="186"/>
    </row>
    <row r="7" spans="2:22" s="1" customFormat="1" ht="15" customHeight="1" x14ac:dyDescent="0.25">
      <c r="B7" s="184"/>
      <c r="C7" s="625"/>
      <c r="D7" s="625"/>
      <c r="E7" s="625"/>
      <c r="F7" s="625"/>
      <c r="G7" s="625"/>
      <c r="H7" s="625"/>
      <c r="I7" s="625"/>
      <c r="J7" s="625"/>
      <c r="K7" s="625"/>
      <c r="L7" s="625"/>
      <c r="M7" s="185"/>
      <c r="N7" s="185"/>
      <c r="O7" s="186"/>
    </row>
    <row r="8" spans="2:22" s="1" customFormat="1" ht="15.75" x14ac:dyDescent="0.25">
      <c r="B8" s="184"/>
      <c r="C8" s="299"/>
      <c r="D8" s="185"/>
      <c r="E8" s="185"/>
      <c r="F8" s="185"/>
      <c r="G8" s="185"/>
      <c r="H8" s="185"/>
      <c r="I8" s="185"/>
      <c r="J8" s="185"/>
      <c r="K8" s="185"/>
      <c r="L8" s="185"/>
      <c r="M8" s="185"/>
      <c r="N8" s="185"/>
      <c r="O8" s="186"/>
    </row>
    <row r="9" spans="2:22" s="1" customFormat="1" x14ac:dyDescent="0.25">
      <c r="B9" s="184"/>
      <c r="C9" s="185"/>
      <c r="D9" s="185"/>
      <c r="E9" s="185"/>
      <c r="F9" s="185"/>
      <c r="G9" s="185"/>
      <c r="H9" s="185"/>
      <c r="I9" s="185"/>
      <c r="J9" s="185"/>
      <c r="K9" s="185"/>
      <c r="L9" s="185"/>
      <c r="M9" s="185"/>
      <c r="N9" s="185"/>
      <c r="O9" s="186"/>
      <c r="T9" s="205"/>
      <c r="U9" s="205"/>
      <c r="V9" s="205"/>
    </row>
    <row r="10" spans="2:22" ht="30.6" customHeight="1" x14ac:dyDescent="0.25">
      <c r="B10" s="184"/>
      <c r="C10" s="185"/>
      <c r="D10" s="185"/>
      <c r="E10" s="185"/>
      <c r="F10" s="185"/>
      <c r="G10" s="185"/>
      <c r="H10" s="185"/>
      <c r="I10" s="185"/>
      <c r="J10" s="185"/>
      <c r="K10" s="185"/>
      <c r="L10" s="185"/>
      <c r="M10" s="185"/>
      <c r="N10" s="185"/>
      <c r="O10" s="186"/>
      <c r="T10" s="205"/>
      <c r="U10" s="205"/>
      <c r="V10" s="205"/>
    </row>
    <row r="11" spans="2:22" x14ac:dyDescent="0.25">
      <c r="B11" s="184"/>
      <c r="C11" s="185"/>
      <c r="D11" s="185"/>
      <c r="E11" s="185"/>
      <c r="F11" s="185"/>
      <c r="G11" s="185"/>
      <c r="H11" s="185"/>
      <c r="I11" s="185"/>
      <c r="J11" s="185"/>
      <c r="K11" s="185"/>
      <c r="L11" s="185"/>
      <c r="M11" s="185"/>
      <c r="N11" s="185"/>
      <c r="O11" s="186"/>
      <c r="T11" s="205"/>
      <c r="U11" s="205"/>
      <c r="V11" s="205"/>
    </row>
    <row r="12" spans="2:22" x14ac:dyDescent="0.25">
      <c r="B12" s="184"/>
      <c r="C12" s="185"/>
      <c r="D12" s="185"/>
      <c r="E12" s="185"/>
      <c r="F12" s="185"/>
      <c r="G12" s="185"/>
      <c r="H12" s="185"/>
      <c r="I12" s="185"/>
      <c r="J12" s="185"/>
      <c r="K12" s="185"/>
      <c r="L12" s="185"/>
      <c r="M12" s="185"/>
      <c r="N12" s="185"/>
      <c r="O12" s="186"/>
      <c r="T12" s="205"/>
      <c r="V12" s="205"/>
    </row>
    <row r="13" spans="2:22" x14ac:dyDescent="0.25">
      <c r="B13" s="184"/>
      <c r="C13" s="185"/>
      <c r="D13" s="185"/>
      <c r="E13" s="185"/>
      <c r="F13" s="185"/>
      <c r="G13" s="185"/>
      <c r="H13" s="185"/>
      <c r="I13" s="185"/>
      <c r="J13" s="185"/>
      <c r="K13" s="185"/>
      <c r="L13" s="185"/>
      <c r="M13" s="185"/>
      <c r="N13" s="185"/>
      <c r="O13" s="186"/>
      <c r="S13" s="180"/>
      <c r="T13" s="205"/>
      <c r="U13" s="205"/>
      <c r="V13" s="205"/>
    </row>
    <row r="14" spans="2:22" x14ac:dyDescent="0.25">
      <c r="B14" s="184"/>
      <c r="C14" s="185"/>
      <c r="D14" s="185"/>
      <c r="E14" s="185"/>
      <c r="F14" s="185"/>
      <c r="G14" s="185"/>
      <c r="H14" s="185"/>
      <c r="I14" s="185"/>
      <c r="J14" s="185"/>
      <c r="K14" s="185"/>
      <c r="L14" s="185"/>
      <c r="M14" s="185"/>
      <c r="N14" s="185"/>
      <c r="O14" s="186"/>
      <c r="T14" s="205"/>
      <c r="U14" s="205"/>
      <c r="V14" s="205"/>
    </row>
    <row r="15" spans="2:22" x14ac:dyDescent="0.25">
      <c r="B15" s="184"/>
      <c r="C15" s="185"/>
      <c r="D15" s="185"/>
      <c r="E15" s="185"/>
      <c r="F15" s="185"/>
      <c r="G15" s="185"/>
      <c r="H15" s="185"/>
      <c r="I15" s="185"/>
      <c r="J15" s="185"/>
      <c r="K15" s="185"/>
      <c r="L15" s="185"/>
      <c r="M15" s="185"/>
      <c r="N15" s="185"/>
      <c r="O15" s="186"/>
    </row>
    <row r="16" spans="2:22" x14ac:dyDescent="0.25">
      <c r="B16" s="184"/>
      <c r="C16" s="185"/>
      <c r="D16" s="185"/>
      <c r="E16" s="185"/>
      <c r="F16" s="185"/>
      <c r="G16" s="185"/>
      <c r="H16" s="185"/>
      <c r="I16" s="185"/>
      <c r="J16" s="185"/>
      <c r="K16" s="185"/>
      <c r="L16" s="185"/>
      <c r="M16" s="185"/>
      <c r="N16" s="185"/>
      <c r="O16" s="186"/>
    </row>
    <row r="17" spans="2:19" x14ac:dyDescent="0.25">
      <c r="B17" s="184"/>
      <c r="C17" s="185"/>
      <c r="D17" s="185"/>
      <c r="E17" s="185"/>
      <c r="F17" s="185"/>
      <c r="G17" s="185"/>
      <c r="H17" s="185"/>
      <c r="I17" s="185"/>
      <c r="J17" s="185"/>
      <c r="K17" s="185"/>
      <c r="L17" s="185"/>
      <c r="M17" s="185"/>
      <c r="N17" s="185"/>
      <c r="O17" s="186"/>
    </row>
    <row r="18" spans="2:19" x14ac:dyDescent="0.25">
      <c r="B18" s="184"/>
      <c r="C18" s="185"/>
      <c r="D18" s="185"/>
      <c r="E18" s="185"/>
      <c r="F18" s="185"/>
      <c r="G18" s="185"/>
      <c r="H18" s="185"/>
      <c r="I18" s="185"/>
      <c r="J18" s="185"/>
      <c r="K18" s="185"/>
      <c r="L18" s="185"/>
      <c r="M18" s="185"/>
      <c r="N18" s="185"/>
      <c r="O18" s="186"/>
    </row>
    <row r="19" spans="2:19" x14ac:dyDescent="0.25">
      <c r="B19" s="184"/>
      <c r="C19" s="185"/>
      <c r="D19" s="185"/>
      <c r="E19" s="185"/>
      <c r="F19" s="185"/>
      <c r="G19" s="185"/>
      <c r="H19" s="185"/>
      <c r="I19" s="185"/>
      <c r="J19" s="185"/>
      <c r="K19" s="185"/>
      <c r="L19" s="185"/>
      <c r="M19" s="185"/>
      <c r="N19" s="185"/>
      <c r="O19" s="186"/>
    </row>
    <row r="20" spans="2:19" x14ac:dyDescent="0.25">
      <c r="B20" s="184"/>
      <c r="C20" s="185"/>
      <c r="D20" s="185"/>
      <c r="E20" s="185"/>
      <c r="F20" s="185"/>
      <c r="G20" s="185"/>
      <c r="H20" s="185"/>
      <c r="I20" s="185"/>
      <c r="J20" s="185"/>
      <c r="K20" s="185"/>
      <c r="L20" s="185"/>
      <c r="M20" s="185"/>
      <c r="N20" s="185"/>
      <c r="O20" s="186"/>
      <c r="S20" s="180"/>
    </row>
    <row r="21" spans="2:19" x14ac:dyDescent="0.25">
      <c r="B21" s="184"/>
      <c r="C21" s="185"/>
      <c r="D21" s="185"/>
      <c r="E21" s="185"/>
      <c r="F21" s="185"/>
      <c r="G21" s="185"/>
      <c r="H21" s="185"/>
      <c r="I21" s="185"/>
      <c r="J21" s="185"/>
      <c r="K21" s="185"/>
      <c r="L21" s="185"/>
      <c r="M21" s="185"/>
      <c r="N21" s="185"/>
      <c r="O21" s="186"/>
    </row>
    <row r="22" spans="2:19" x14ac:dyDescent="0.25">
      <c r="B22" s="184"/>
      <c r="C22" s="185"/>
      <c r="D22" s="185"/>
      <c r="E22" s="185"/>
      <c r="F22" s="185"/>
      <c r="G22" s="185"/>
      <c r="H22" s="185"/>
      <c r="I22" s="185"/>
      <c r="J22" s="185"/>
      <c r="K22" s="185"/>
      <c r="L22" s="185"/>
      <c r="M22" s="185"/>
      <c r="N22" s="185"/>
      <c r="O22" s="186"/>
    </row>
    <row r="23" spans="2:19" x14ac:dyDescent="0.25">
      <c r="B23" s="184"/>
      <c r="C23" s="185"/>
      <c r="D23" s="185"/>
      <c r="E23" s="185"/>
      <c r="F23" s="185"/>
      <c r="G23" s="185"/>
      <c r="H23" s="185"/>
      <c r="I23" s="185"/>
      <c r="J23" s="185"/>
      <c r="K23" s="185"/>
      <c r="L23" s="185"/>
      <c r="M23" s="185"/>
      <c r="N23" s="185"/>
      <c r="O23" s="186"/>
    </row>
    <row r="24" spans="2:19" x14ac:dyDescent="0.25">
      <c r="B24" s="184"/>
      <c r="C24" s="185"/>
      <c r="D24" s="185"/>
      <c r="E24" s="185"/>
      <c r="F24" s="185"/>
      <c r="G24" s="185"/>
      <c r="H24" s="185"/>
      <c r="I24" s="185"/>
      <c r="J24" s="185"/>
      <c r="K24" s="185"/>
      <c r="L24" s="185"/>
      <c r="M24" s="185"/>
      <c r="N24" s="185"/>
      <c r="O24" s="186"/>
    </row>
    <row r="25" spans="2:19" x14ac:dyDescent="0.25">
      <c r="B25" s="184"/>
      <c r="C25" s="185"/>
      <c r="D25" s="185"/>
      <c r="E25" s="185"/>
      <c r="F25" s="185"/>
      <c r="G25" s="185"/>
      <c r="H25" s="185"/>
      <c r="I25" s="185"/>
      <c r="J25" s="185"/>
      <c r="K25" s="185"/>
      <c r="L25" s="185"/>
      <c r="M25" s="185"/>
      <c r="N25" s="185"/>
      <c r="O25" s="186"/>
    </row>
    <row r="26" spans="2:19" ht="21" x14ac:dyDescent="0.35">
      <c r="B26" s="184"/>
      <c r="C26" s="443" t="s">
        <v>1511</v>
      </c>
      <c r="D26" s="185"/>
      <c r="E26" s="185"/>
      <c r="F26" s="185"/>
      <c r="G26" s="185"/>
      <c r="H26" s="185"/>
      <c r="I26" s="185"/>
      <c r="J26" s="185"/>
      <c r="K26" s="185"/>
      <c r="L26" s="185"/>
      <c r="M26" s="185"/>
      <c r="N26" s="185"/>
      <c r="O26" s="186"/>
    </row>
    <row r="27" spans="2:19" ht="15.75" thickBot="1" x14ac:dyDescent="0.3">
      <c r="B27" s="184"/>
      <c r="C27" s="185"/>
      <c r="D27" s="185"/>
      <c r="E27" s="185"/>
      <c r="F27" s="185"/>
      <c r="G27" s="185"/>
      <c r="H27" s="185"/>
      <c r="I27" s="185"/>
      <c r="J27" s="185"/>
      <c r="K27" s="185"/>
      <c r="L27" s="185"/>
      <c r="M27" s="185"/>
      <c r="N27" s="185"/>
      <c r="O27" s="186"/>
    </row>
    <row r="28" spans="2:19" ht="70.5" customHeight="1" thickBot="1" x14ac:dyDescent="0.3">
      <c r="B28" s="184"/>
      <c r="C28" s="214" t="s">
        <v>15</v>
      </c>
      <c r="D28" s="214" t="s">
        <v>1508</v>
      </c>
      <c r="E28" s="214" t="s">
        <v>1528</v>
      </c>
      <c r="F28" s="214" t="s">
        <v>1529</v>
      </c>
      <c r="G28" s="214" t="s">
        <v>1530</v>
      </c>
      <c r="H28" s="214" t="s">
        <v>1531</v>
      </c>
      <c r="I28" s="214" t="s">
        <v>1532</v>
      </c>
      <c r="J28" s="214" t="s">
        <v>1573</v>
      </c>
      <c r="K28" s="185"/>
      <c r="L28" s="185"/>
      <c r="M28" s="185"/>
      <c r="N28" s="185"/>
      <c r="O28" s="186"/>
    </row>
    <row r="29" spans="2:19" x14ac:dyDescent="0.25">
      <c r="B29" s="184"/>
      <c r="C29" s="185">
        <f>Simulation_assumptions!$C$10</f>
        <v>5</v>
      </c>
      <c r="D29" s="185">
        <f>C29+Simulation_assumptions!$C$6</f>
        <v>2020</v>
      </c>
      <c r="E29" s="216">
        <f>IF(C29&lt;&gt;"",IFERROR(SUMPRODUCT(--(Simulation_Int_Calc!$A$6:$A$600=Results_Simulation!C29),Simulation_Int_Calc!$B$6:$B$600,Simulation_Int_Calc!$C$6:$C$600),""),"")</f>
        <v>266.84848886245254</v>
      </c>
      <c r="F29" s="216">
        <f>IF(C29&lt;&gt;"",IFERROR(SUMPRODUCT(--(Simulation_Int_Calc!A:A=Results_Simulation!C29),Simulation_Int_Calc!B:B,Simulation_Int_Calc!D:D),""),"")</f>
        <v>25.85</v>
      </c>
      <c r="G29" s="216">
        <f>IF(C29&lt;&gt;"",IFERROR(SUMPRODUCT(--(Simulation_Int_Calc!A:A=Results_Simulation!C29),Simulation_Int_Calc!B:B,Simulation_Int_Calc!E:E),""),"")</f>
        <v>5.3369697772490508</v>
      </c>
      <c r="H29" s="216">
        <f>IF(C29&lt;&gt;"",IFERROR(SUMPRODUCT(--(Simulation_Int_Calc!A:A=Results_Simulation!C29),Simulation_Int_Calc!B:B,Simulation_Int_Calc!F:F),""),"")</f>
        <v>10.673939554498102</v>
      </c>
      <c r="I29" s="216">
        <f>IF(C29&lt;&gt;"",SUM(E29:H29),"")</f>
        <v>308.70939819419971</v>
      </c>
      <c r="J29" s="216">
        <f>I29*Simulation_Int_Calc!$J$5</f>
        <v>61741.879638839942</v>
      </c>
      <c r="K29" s="185"/>
      <c r="L29" s="185"/>
      <c r="M29" s="185"/>
      <c r="N29" s="185"/>
      <c r="O29" s="186"/>
    </row>
    <row r="30" spans="2:19" x14ac:dyDescent="0.25">
      <c r="B30" s="184"/>
      <c r="C30" s="185">
        <f>IF(C29&gt;=Simulation_assumptions!$C$8,"",C29+Simulation_assumptions!$C$10)</f>
        <v>10</v>
      </c>
      <c r="D30" s="185">
        <f>C30+Simulation_assumptions!$C$6</f>
        <v>2025</v>
      </c>
      <c r="E30" s="216">
        <f>IF(C30&lt;&gt;"",IFERROR(SUMPRODUCT(--(Simulation_Int_Calc!$A$6:$A$600=Results_Simulation!C30),Simulation_Int_Calc!$B$6:$B$600,Simulation_Int_Calc!$C$6:$C$600),""),"")</f>
        <v>50.689196525341728</v>
      </c>
      <c r="F30" s="216">
        <f>IF(C30&lt;&gt;"",IFERROR(SUMPRODUCT(--(Simulation_Int_Calc!A:A=Results_Simulation!C30),Simulation_Int_Calc!B:B,Simulation_Int_Calc!D:D),""),"")</f>
        <v>64.625</v>
      </c>
      <c r="G30" s="216">
        <f>IF(C30&lt;&gt;"",IFERROR(SUMPRODUCT(--(Simulation_Int_Calc!A:A=Results_Simulation!C30),Simulation_Int_Calc!B:B,Simulation_Int_Calc!E:E),""),"")</f>
        <v>0.50689196525341729</v>
      </c>
      <c r="H30" s="216">
        <f>IF(C30&lt;&gt;"",IFERROR(SUMPRODUCT(--(Simulation_Int_Calc!A:A=Results_Simulation!C30),Simulation_Int_Calc!B:B,Simulation_Int_Calc!F:F),""),"")</f>
        <v>0.50689196525341729</v>
      </c>
      <c r="I30" s="216">
        <f t="shared" ref="I30" si="0">IF(C30&lt;&gt;"",SUM(E30:H30),"")</f>
        <v>116.32798045584856</v>
      </c>
      <c r="J30" s="216">
        <f>I30*Simulation_Int_Calc!$J$5</f>
        <v>23265.596091169711</v>
      </c>
      <c r="K30" s="185"/>
      <c r="L30" s="185"/>
      <c r="M30" s="185"/>
      <c r="N30" s="185"/>
      <c r="O30" s="186"/>
    </row>
    <row r="31" spans="2:19" x14ac:dyDescent="0.25">
      <c r="B31" s="184"/>
      <c r="C31" s="185">
        <f>IF(C30&gt;=Simulation_assumptions!$C$8,"",C30+Simulation_assumptions!$C$10)</f>
        <v>15</v>
      </c>
      <c r="D31" s="185">
        <f>C31+Simulation_assumptions!$C$6</f>
        <v>2030</v>
      </c>
      <c r="E31" s="216">
        <f>IF(C31&lt;&gt;"",IFERROR(SUMPRODUCT(--(Simulation_Int_Calc!$A$6:$A$600=Results_Simulation!C31),Simulation_Int_Calc!$B$6:$B$600,Simulation_Int_Calc!$C$6:$C$600),""),"")</f>
        <v>112.69911029632718</v>
      </c>
      <c r="F31" s="216">
        <f>IF(C31&lt;&gt;"",IFERROR(SUMPRODUCT(--(Simulation_Int_Calc!A:A=Results_Simulation!C31),Simulation_Int_Calc!B:B,Simulation_Int_Calc!D:D),""),"")</f>
        <v>64.625</v>
      </c>
      <c r="G31" s="216">
        <f>IF(C31&lt;&gt;"",IFERROR(SUMPRODUCT(--(Simulation_Int_Calc!A:A=Results_Simulation!C31),Simulation_Int_Calc!B:B,Simulation_Int_Calc!E:E),""),"")</f>
        <v>1.1269911029632718</v>
      </c>
      <c r="H31" s="216">
        <f>IF(C31&lt;&gt;"",IFERROR(SUMPRODUCT(--(Simulation_Int_Calc!A:A=Results_Simulation!C31),Simulation_Int_Calc!B:B,Simulation_Int_Calc!F:F),""),"")</f>
        <v>1.1269911029632718</v>
      </c>
      <c r="I31" s="216">
        <f t="shared" ref="I31:I37" si="1">IF(C31&lt;&gt;"",SUM(E31:H31),"")</f>
        <v>179.57809250225372</v>
      </c>
      <c r="J31" s="216">
        <f>I31*Simulation_Int_Calc!$J$5</f>
        <v>35915.618500450742</v>
      </c>
      <c r="K31" s="185"/>
      <c r="L31" s="185"/>
      <c r="M31" s="185"/>
      <c r="N31" s="185"/>
      <c r="O31" s="186"/>
    </row>
    <row r="32" spans="2:19" x14ac:dyDescent="0.25">
      <c r="B32" s="184"/>
      <c r="C32" s="185">
        <f>IF(C31&gt;=Simulation_assumptions!$C$8,"",C31+Simulation_assumptions!$C$10)</f>
        <v>20</v>
      </c>
      <c r="D32" s="185">
        <f>C32+Simulation_assumptions!$C$6</f>
        <v>2035</v>
      </c>
      <c r="E32" s="216">
        <f>IF(C32&lt;&gt;"",IFERROR(SUMPRODUCT(--(Simulation_Int_Calc!$A$6:$A$600=Results_Simulation!C32),Simulation_Int_Calc!$B$6:$B$600,Simulation_Int_Calc!$C$6:$C$600),""),"")</f>
        <v>174.21648422441609</v>
      </c>
      <c r="F32" s="216">
        <f>IF(C32&lt;&gt;"",IFERROR(SUMPRODUCT(--(Simulation_Int_Calc!A:A=Results_Simulation!C32),Simulation_Int_Calc!B:B,Simulation_Int_Calc!D:D),""),"")</f>
        <v>64.625</v>
      </c>
      <c r="G32" s="216">
        <f>IF(C32&lt;&gt;"",IFERROR(SUMPRODUCT(--(Simulation_Int_Calc!A:A=Results_Simulation!C32),Simulation_Int_Calc!B:B,Simulation_Int_Calc!E:E),""),"")</f>
        <v>1.7421648422441609</v>
      </c>
      <c r="H32" s="216">
        <f>IF(C32&lt;&gt;"",IFERROR(SUMPRODUCT(--(Simulation_Int_Calc!A:A=Results_Simulation!C32),Simulation_Int_Calc!B:B,Simulation_Int_Calc!F:F),""),"")</f>
        <v>1.7421648422441609</v>
      </c>
      <c r="I32" s="216">
        <f t="shared" si="1"/>
        <v>242.32581390890442</v>
      </c>
      <c r="J32" s="216">
        <f>I32*Simulation_Int_Calc!$J$5</f>
        <v>48465.162781780884</v>
      </c>
      <c r="K32" s="185"/>
      <c r="L32" s="185"/>
      <c r="M32" s="185"/>
      <c r="N32" s="185"/>
      <c r="O32" s="186"/>
    </row>
    <row r="33" spans="2:15" x14ac:dyDescent="0.25">
      <c r="B33" s="184"/>
      <c r="C33" s="185">
        <f>IF(C32&gt;=Simulation_assumptions!$C$8,"",C32+Simulation_assumptions!$C$10)</f>
        <v>25</v>
      </c>
      <c r="D33" s="185">
        <f>C33+Simulation_assumptions!$C$6</f>
        <v>2040</v>
      </c>
      <c r="E33" s="216">
        <f>IF(C33&lt;&gt;"",IFERROR(SUMPRODUCT(--(Simulation_Int_Calc!$A$6:$A$600=Results_Simulation!C33),Simulation_Int_Calc!$B$6:$B$600,Simulation_Int_Calc!$C$6:$C$600),""),"")</f>
        <v>50.689196525341728</v>
      </c>
      <c r="F33" s="216">
        <f>IF(C33&lt;&gt;"",IFERROR(SUMPRODUCT(--(Simulation_Int_Calc!A:A=Results_Simulation!C33),Simulation_Int_Calc!B:B,Simulation_Int_Calc!D:D),""),"")</f>
        <v>64.625</v>
      </c>
      <c r="G33" s="216">
        <f>IF(C33&lt;&gt;"",IFERROR(SUMPRODUCT(--(Simulation_Int_Calc!A:A=Results_Simulation!C33),Simulation_Int_Calc!B:B,Simulation_Int_Calc!E:E),""),"")</f>
        <v>0.50689196525341729</v>
      </c>
      <c r="H33" s="216">
        <f>IF(C33&lt;&gt;"",IFERROR(SUMPRODUCT(--(Simulation_Int_Calc!A:A=Results_Simulation!C33),Simulation_Int_Calc!B:B,Simulation_Int_Calc!F:F),""),"")</f>
        <v>0.50689196525341729</v>
      </c>
      <c r="I33" s="216">
        <f t="shared" si="1"/>
        <v>116.32798045584856</v>
      </c>
      <c r="J33" s="216">
        <f>I33*Simulation_Int_Calc!$J$5</f>
        <v>23265.596091169711</v>
      </c>
      <c r="K33" s="185"/>
      <c r="L33" s="185"/>
      <c r="M33" s="185"/>
      <c r="N33" s="185"/>
      <c r="O33" s="186"/>
    </row>
    <row r="34" spans="2:15" x14ac:dyDescent="0.25">
      <c r="B34" s="184"/>
      <c r="C34" s="185">
        <f>IF(C33&gt;=Simulation_assumptions!$C$8,"",C33+Simulation_assumptions!$C$10)</f>
        <v>30</v>
      </c>
      <c r="D34" s="185">
        <f>C34+Simulation_assumptions!$C$6</f>
        <v>2045</v>
      </c>
      <c r="E34" s="216">
        <f>IF(C34&lt;&gt;"",IFERROR(SUMPRODUCT(--(Simulation_Int_Calc!$A$6:$A$600=Results_Simulation!C34),Simulation_Int_Calc!$B$6:$B$600,Simulation_Int_Calc!$C$6:$C$600),""),"")</f>
        <v>112.69911029632718</v>
      </c>
      <c r="F34" s="216">
        <f>IF(C34&lt;&gt;"",IFERROR(SUMPRODUCT(--(Simulation_Int_Calc!A:A=Results_Simulation!C34),Simulation_Int_Calc!B:B,Simulation_Int_Calc!D:D),""),"")</f>
        <v>64.625</v>
      </c>
      <c r="G34" s="216">
        <f>IF(C34&lt;&gt;"",IFERROR(SUMPRODUCT(--(Simulation_Int_Calc!A:A=Results_Simulation!C34),Simulation_Int_Calc!B:B,Simulation_Int_Calc!E:E),""),"")</f>
        <v>1.1269911029632718</v>
      </c>
      <c r="H34" s="216">
        <f>IF(C34&lt;&gt;"",IFERROR(SUMPRODUCT(--(Simulation_Int_Calc!A:A=Results_Simulation!C34),Simulation_Int_Calc!B:B,Simulation_Int_Calc!F:F),""),"")</f>
        <v>1.1269911029632718</v>
      </c>
      <c r="I34" s="216">
        <f t="shared" si="1"/>
        <v>179.57809250225372</v>
      </c>
      <c r="J34" s="216">
        <f>I34*Simulation_Int_Calc!$J$5</f>
        <v>35915.618500450742</v>
      </c>
      <c r="K34" s="185"/>
      <c r="L34" s="185"/>
      <c r="M34" s="185"/>
      <c r="N34" s="185"/>
      <c r="O34" s="186"/>
    </row>
    <row r="35" spans="2:15" x14ac:dyDescent="0.25">
      <c r="B35" s="184"/>
      <c r="C35" s="185">
        <f>IF(C34&gt;=Simulation_assumptions!$C$8,"",C34+Simulation_assumptions!$C$10)</f>
        <v>35</v>
      </c>
      <c r="D35" s="185">
        <f>C35+Simulation_assumptions!$C$6</f>
        <v>2050</v>
      </c>
      <c r="E35" s="216">
        <f>IF(C35&lt;&gt;"",IFERROR(SUMPRODUCT(--(Simulation_Int_Calc!$A$6:$A$600=Results_Simulation!C35),Simulation_Int_Calc!$B$6:$B$600,Simulation_Int_Calc!$C$6:$C$600),""),"")</f>
        <v>174.21648422441609</v>
      </c>
      <c r="F35" s="216">
        <f>IF(C35&lt;&gt;"",IFERROR(SUMPRODUCT(--(Simulation_Int_Calc!A:A=Results_Simulation!C35),Simulation_Int_Calc!B:B,Simulation_Int_Calc!D:D),""),"")</f>
        <v>64.625</v>
      </c>
      <c r="G35" s="216">
        <f>IF(C35&lt;&gt;"",IFERROR(SUMPRODUCT(--(Simulation_Int_Calc!A:A=Results_Simulation!C35),Simulation_Int_Calc!B:B,Simulation_Int_Calc!E:E),""),"")</f>
        <v>1.7421648422441609</v>
      </c>
      <c r="H35" s="216">
        <f>IF(C35&lt;&gt;"",IFERROR(SUMPRODUCT(--(Simulation_Int_Calc!A:A=Results_Simulation!C35),Simulation_Int_Calc!B:B,Simulation_Int_Calc!F:F),""),"")</f>
        <v>1.7421648422441609</v>
      </c>
      <c r="I35" s="216">
        <f t="shared" si="1"/>
        <v>242.32581390890442</v>
      </c>
      <c r="J35" s="216">
        <f>I35*Simulation_Int_Calc!$J$5</f>
        <v>48465.162781780884</v>
      </c>
      <c r="K35" s="185"/>
      <c r="L35" s="185"/>
      <c r="M35" s="185"/>
      <c r="N35" s="185"/>
      <c r="O35" s="186"/>
    </row>
    <row r="36" spans="2:15" x14ac:dyDescent="0.25">
      <c r="B36" s="184"/>
      <c r="C36" s="185">
        <f>IF(C35&gt;=Simulation_assumptions!$C$8,"",C35+Simulation_assumptions!$C$10)</f>
        <v>40</v>
      </c>
      <c r="D36" s="185">
        <f>C36+Simulation_assumptions!$C$6</f>
        <v>2055</v>
      </c>
      <c r="E36" s="216">
        <f>IF(C36&lt;&gt;"",IFERROR(SUMPRODUCT(--(Simulation_Int_Calc!$A$6:$A$600=Results_Simulation!C36),Simulation_Int_Calc!$B$6:$B$600,Simulation_Int_Calc!$C$6:$C$600),""),"")</f>
        <v>50.689196525341728</v>
      </c>
      <c r="F36" s="216">
        <f>IF(C36&lt;&gt;"",IFERROR(SUMPRODUCT(--(Simulation_Int_Calc!A:A=Results_Simulation!C36),Simulation_Int_Calc!B:B,Simulation_Int_Calc!D:D),""),"")</f>
        <v>64.625</v>
      </c>
      <c r="G36" s="216">
        <f>IF(C36&lt;&gt;"",IFERROR(SUMPRODUCT(--(Simulation_Int_Calc!A:A=Results_Simulation!C36),Simulation_Int_Calc!B:B,Simulation_Int_Calc!E:E),""),"")</f>
        <v>0.50689196525341729</v>
      </c>
      <c r="H36" s="216">
        <f>IF(C36&lt;&gt;"",IFERROR(SUMPRODUCT(--(Simulation_Int_Calc!A:A=Results_Simulation!C36),Simulation_Int_Calc!B:B,Simulation_Int_Calc!F:F),""),"")</f>
        <v>0.50689196525341729</v>
      </c>
      <c r="I36" s="216">
        <f t="shared" si="1"/>
        <v>116.32798045584856</v>
      </c>
      <c r="J36" s="216">
        <f>I36*Simulation_Int_Calc!$J$5</f>
        <v>23265.596091169711</v>
      </c>
      <c r="K36" s="185"/>
      <c r="L36" s="185"/>
      <c r="M36" s="185"/>
      <c r="N36" s="185"/>
      <c r="O36" s="186"/>
    </row>
    <row r="37" spans="2:15" x14ac:dyDescent="0.25">
      <c r="B37" s="184"/>
      <c r="C37" s="185">
        <f>IF(C36&gt;=Simulation_assumptions!$C$8,"",C36+Simulation_assumptions!$C$10)</f>
        <v>45</v>
      </c>
      <c r="D37" s="185">
        <f>C37+Simulation_assumptions!$C$6</f>
        <v>2060</v>
      </c>
      <c r="E37" s="216">
        <f>IF(C37&lt;&gt;"",IFERROR(SUMPRODUCT(--(Simulation_Int_Calc!$A$6:$A$600=Results_Simulation!C37),Simulation_Int_Calc!$B$6:$B$600,Simulation_Int_Calc!$C$6:$C$600),""),"")</f>
        <v>112.69911029632718</v>
      </c>
      <c r="F37" s="216">
        <f>IF(C37&lt;&gt;"",IFERROR(SUMPRODUCT(--(Simulation_Int_Calc!A:A=Results_Simulation!C37),Simulation_Int_Calc!B:B,Simulation_Int_Calc!D:D),""),"")</f>
        <v>64.625</v>
      </c>
      <c r="G37" s="216">
        <f>IF(C37&lt;&gt;"",IFERROR(SUMPRODUCT(--(Simulation_Int_Calc!A:A=Results_Simulation!C37),Simulation_Int_Calc!B:B,Simulation_Int_Calc!E:E),""),"")</f>
        <v>1.1269911029632718</v>
      </c>
      <c r="H37" s="216">
        <f>IF(C37&lt;&gt;"",IFERROR(SUMPRODUCT(--(Simulation_Int_Calc!A:A=Results_Simulation!C37),Simulation_Int_Calc!B:B,Simulation_Int_Calc!F:F),""),"")</f>
        <v>1.1269911029632718</v>
      </c>
      <c r="I37" s="216">
        <f t="shared" si="1"/>
        <v>179.57809250225372</v>
      </c>
      <c r="J37" s="216">
        <f>I37*Simulation_Int_Calc!$J$5</f>
        <v>35915.618500450742</v>
      </c>
      <c r="K37" s="185"/>
      <c r="L37" s="185"/>
      <c r="M37" s="185"/>
      <c r="N37" s="185"/>
      <c r="O37" s="186"/>
    </row>
  </sheetData>
  <sheetProtection pivotTables="0"/>
  <mergeCells count="1">
    <mergeCell ref="C6:L7"/>
  </mergeCells>
  <dataValidations disablePrompts="1" count="1">
    <dataValidation type="list" allowBlank="1" showInputMessage="1" showErrorMessage="1" sqref="E12:E14" xr:uid="{00000000-0002-0000-1100-000000000000}">
      <formula1>intermediate_yrs</formula1>
    </dataValidation>
  </dataValidations>
  <pageMargins left="0.7" right="0.7" top="0.75" bottom="0.75" header="0.3" footer="0.3"/>
  <pageSetup orientation="portrait" horizontalDpi="4294967292" verticalDpi="300" r:id="rId1"/>
  <drawing r:id="rId2"/>
  <legacyDrawing r:id="rId3"/>
  <mc:AlternateContent xmlns:mc="http://schemas.openxmlformats.org/markup-compatibility/2006">
    <mc:Choice Requires="x14">
      <controls>
        <mc:AlternateContent xmlns:mc="http://schemas.openxmlformats.org/markup-compatibility/2006">
          <mc:Choice Requires="x14">
            <control shapeId="34818" r:id="rId4" name="Button 2">
              <controlPr defaultSize="0" print="0" autoFill="0" autoPict="0" macro="[0]!Refresh_Simulation">
                <anchor moveWithCells="1" sizeWithCells="1">
                  <from>
                    <xdr:col>2</xdr:col>
                    <xdr:colOff>0</xdr:colOff>
                    <xdr:row>3</xdr:row>
                    <xdr:rowOff>66675</xdr:rowOff>
                  </from>
                  <to>
                    <xdr:col>4</xdr:col>
                    <xdr:colOff>561975</xdr:colOff>
                    <xdr:row>4</xdr:row>
                    <xdr:rowOff>180975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Werkbladen</vt:lpstr>
      </vt:variant>
      <vt:variant>
        <vt:i4>18</vt:i4>
      </vt:variant>
      <vt:variant>
        <vt:lpstr>Benoemde bereiken</vt:lpstr>
      </vt:variant>
      <vt:variant>
        <vt:i4>31</vt:i4>
      </vt:variant>
    </vt:vector>
  </HeadingPairs>
  <TitlesOfParts>
    <vt:vector size="49" baseType="lpstr">
      <vt:lpstr>Introduction</vt:lpstr>
      <vt:lpstr>Accuracy</vt:lpstr>
      <vt:lpstr>General Data</vt:lpstr>
      <vt:lpstr>Default_Values</vt:lpstr>
      <vt:lpstr>Species</vt:lpstr>
      <vt:lpstr>Strata</vt:lpstr>
      <vt:lpstr>Management</vt:lpstr>
      <vt:lpstr>HWP</vt:lpstr>
      <vt:lpstr>Inventory_data</vt:lpstr>
      <vt:lpstr>Int_calc3</vt:lpstr>
      <vt:lpstr>Results</vt:lpstr>
      <vt:lpstr>Models</vt:lpstr>
      <vt:lpstr>Growth Model</vt:lpstr>
      <vt:lpstr>All_Models</vt:lpstr>
      <vt:lpstr>Simulation_assumptions</vt:lpstr>
      <vt:lpstr>Inventory_Simulation</vt:lpstr>
      <vt:lpstr>Simulation_Int_Calc</vt:lpstr>
      <vt:lpstr>Results_Simulation</vt:lpstr>
      <vt:lpstr>Models!chart_types</vt:lpstr>
      <vt:lpstr>chart_types</vt:lpstr>
      <vt:lpstr>Models!chart1</vt:lpstr>
      <vt:lpstr>chart1</vt:lpstr>
      <vt:lpstr>Models!chart2</vt:lpstr>
      <vt:lpstr>chart2</vt:lpstr>
      <vt:lpstr>Models!chart3</vt:lpstr>
      <vt:lpstr>chart3</vt:lpstr>
      <vt:lpstr>Models!chart4</vt:lpstr>
      <vt:lpstr>chart4</vt:lpstr>
      <vt:lpstr>Models!intermediate_yrs</vt:lpstr>
      <vt:lpstr>intermediate_yrs</vt:lpstr>
      <vt:lpstr>no_models</vt:lpstr>
      <vt:lpstr>Inventory_data!Ophalen</vt:lpstr>
      <vt:lpstr>Results_Simulation!Ophalen</vt:lpstr>
      <vt:lpstr>Models!result_simulation</vt:lpstr>
      <vt:lpstr>result_simulation</vt:lpstr>
      <vt:lpstr>Models!results_simulation</vt:lpstr>
      <vt:lpstr>results_simulation</vt:lpstr>
      <vt:lpstr>results_table</vt:lpstr>
      <vt:lpstr>Models!Species</vt:lpstr>
      <vt:lpstr>Species</vt:lpstr>
      <vt:lpstr>Models!Stratum</vt:lpstr>
      <vt:lpstr>Stratum</vt:lpstr>
      <vt:lpstr>Stratum_2</vt:lpstr>
      <vt:lpstr>Models!Stratum_Model</vt:lpstr>
      <vt:lpstr>Total</vt:lpstr>
      <vt:lpstr>unique_year</vt:lpstr>
      <vt:lpstr>Year_2</vt:lpstr>
      <vt:lpstr>Year1</vt:lpstr>
      <vt:lpstr>YearSim</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Irene Calo</dc:creator>
  <cp:lastModifiedBy>Petra Westerlaan</cp:lastModifiedBy>
  <cp:lastPrinted>2014-11-28T10:27:49Z</cp:lastPrinted>
  <dcterms:created xsi:type="dcterms:W3CDTF">2014-03-24T09:35:31Z</dcterms:created>
  <dcterms:modified xsi:type="dcterms:W3CDTF">2020-08-05T14:39:23Z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9b4f7599-1342-47b8-8763-6d2c20114c44</vt:lpwstr>
  </property>
</Properties>
</file>